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0" windowHeight="11760"/>
  </bookViews>
  <sheets>
    <sheet name="Лист1 " sheetId="3" r:id="rId1"/>
    <sheet name="Лист2" sheetId="2" r:id="rId2"/>
  </sheets>
  <definedNames>
    <definedName name="_xlnm._FilterDatabase" localSheetId="0" hidden="1">'Лист1 '!$A$1:$M$840</definedName>
    <definedName name="_xlnm.Print_Titles" localSheetId="0">'Лист1 '!$7:$7</definedName>
    <definedName name="_xlnm.Print_Titles" localSheetId="1">Лист2!$9:$9</definedName>
    <definedName name="_xlnm.Print_Area" localSheetId="0">'Лист1 '!$A$1:$L$853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6" i="3" l="1"/>
  <c r="H237" i="3" l="1"/>
  <c r="E237" i="3" s="1"/>
  <c r="J839" i="3"/>
  <c r="F839" i="3"/>
  <c r="J838" i="3"/>
  <c r="F838" i="3"/>
  <c r="J834" i="3"/>
  <c r="I834" i="3"/>
  <c r="H834" i="3"/>
  <c r="F834" i="3"/>
  <c r="J833" i="3"/>
  <c r="I833" i="3"/>
  <c r="H833" i="3"/>
  <c r="F833" i="3"/>
  <c r="J832" i="3"/>
  <c r="I832" i="3"/>
  <c r="H832" i="3"/>
  <c r="F832" i="3"/>
  <c r="J831" i="3"/>
  <c r="I831" i="3"/>
  <c r="H831" i="3"/>
  <c r="F831" i="3"/>
  <c r="J830" i="3"/>
  <c r="I830" i="3"/>
  <c r="F830" i="3"/>
  <c r="H829" i="3"/>
  <c r="G829" i="3"/>
  <c r="H828" i="3"/>
  <c r="G828" i="3"/>
  <c r="H827" i="3"/>
  <c r="G827" i="3"/>
  <c r="H826" i="3"/>
  <c r="G826" i="3"/>
  <c r="H825" i="3"/>
  <c r="G825" i="3"/>
  <c r="E824" i="3"/>
  <c r="E823" i="3"/>
  <c r="E822" i="3"/>
  <c r="E821" i="3"/>
  <c r="G820" i="3"/>
  <c r="E820" i="3" s="1"/>
  <c r="G819" i="3"/>
  <c r="E819" i="3" s="1"/>
  <c r="H818" i="3"/>
  <c r="G818" i="3"/>
  <c r="H817" i="3"/>
  <c r="G817" i="3"/>
  <c r="G816" i="3"/>
  <c r="E816" i="3" s="1"/>
  <c r="E815" i="3"/>
  <c r="E814" i="3"/>
  <c r="E813" i="3"/>
  <c r="E812" i="3"/>
  <c r="H808" i="3"/>
  <c r="H807" i="3"/>
  <c r="H799" i="3"/>
  <c r="H798" i="3"/>
  <c r="H797" i="3"/>
  <c r="E788" i="3"/>
  <c r="H778" i="3"/>
  <c r="E769" i="3"/>
  <c r="E763" i="3"/>
  <c r="H762" i="3"/>
  <c r="E762" i="3" s="1"/>
  <c r="E761" i="3"/>
  <c r="E760" i="3"/>
  <c r="E754" i="3"/>
  <c r="E753" i="3"/>
  <c r="E752" i="3"/>
  <c r="H751" i="3"/>
  <c r="E751" i="3" s="1"/>
  <c r="E750" i="3"/>
  <c r="E749" i="3"/>
  <c r="E748" i="3"/>
  <c r="E747" i="3"/>
  <c r="E746" i="3"/>
  <c r="E745" i="3"/>
  <c r="E744" i="3"/>
  <c r="E743" i="3"/>
  <c r="H742" i="3"/>
  <c r="E742" i="3" s="1"/>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H715" i="3"/>
  <c r="E715" i="3" s="1"/>
  <c r="E714" i="3"/>
  <c r="E713" i="3"/>
  <c r="E712" i="3"/>
  <c r="E711" i="3"/>
  <c r="E710" i="3"/>
  <c r="E709" i="3"/>
  <c r="E708" i="3"/>
  <c r="H707" i="3"/>
  <c r="E707" i="3" s="1"/>
  <c r="I706" i="3"/>
  <c r="H706" i="3"/>
  <c r="G706" i="3"/>
  <c r="E705" i="3"/>
  <c r="E704" i="3"/>
  <c r="E703" i="3"/>
  <c r="E702" i="3"/>
  <c r="E701" i="3"/>
  <c r="E700" i="3"/>
  <c r="E699" i="3"/>
  <c r="E698" i="3"/>
  <c r="I697" i="3"/>
  <c r="H697" i="3"/>
  <c r="G697" i="3"/>
  <c r="E696" i="3"/>
  <c r="E695" i="3"/>
  <c r="E694" i="3"/>
  <c r="E693" i="3"/>
  <c r="E692" i="3"/>
  <c r="E691" i="3"/>
  <c r="E690" i="3"/>
  <c r="G689" i="3"/>
  <c r="E689" i="3" s="1"/>
  <c r="G688" i="3"/>
  <c r="E688" i="3" s="1"/>
  <c r="E687" i="3"/>
  <c r="E686" i="3"/>
  <c r="E685" i="3"/>
  <c r="E684" i="3"/>
  <c r="E683" i="3"/>
  <c r="H682" i="3"/>
  <c r="E682" i="3" s="1"/>
  <c r="I681" i="3"/>
  <c r="H681" i="3" s="1"/>
  <c r="E681" i="3" s="1"/>
  <c r="I680" i="3"/>
  <c r="H680" i="3" s="1"/>
  <c r="G680" i="3"/>
  <c r="I679" i="3"/>
  <c r="H679" i="3" s="1"/>
  <c r="E679" i="3" s="1"/>
  <c r="E678" i="3"/>
  <c r="E677" i="3"/>
  <c r="E676" i="3"/>
  <c r="E675" i="3"/>
  <c r="E674" i="3"/>
  <c r="C674" i="3"/>
  <c r="E673" i="3"/>
  <c r="E672" i="3"/>
  <c r="G671" i="3"/>
  <c r="E671" i="3" s="1"/>
  <c r="G670" i="3"/>
  <c r="E670" i="3" s="1"/>
  <c r="G669" i="3"/>
  <c r="E669" i="3" s="1"/>
  <c r="E668" i="3"/>
  <c r="E667" i="3"/>
  <c r="E666" i="3"/>
  <c r="E665" i="3"/>
  <c r="C665" i="3"/>
  <c r="E664" i="3"/>
  <c r="E663" i="3"/>
  <c r="H662" i="3"/>
  <c r="E662" i="3" s="1"/>
  <c r="H661" i="3"/>
  <c r="E661" i="3" s="1"/>
  <c r="H660" i="3"/>
  <c r="E660" i="3" s="1"/>
  <c r="E659" i="3"/>
  <c r="E658" i="3"/>
  <c r="E657" i="3"/>
  <c r="E656" i="3"/>
  <c r="C656" i="3"/>
  <c r="H655" i="3"/>
  <c r="E655" i="3" s="1"/>
  <c r="H654" i="3"/>
  <c r="E654" i="3" s="1"/>
  <c r="H653" i="3"/>
  <c r="E653" i="3" s="1"/>
  <c r="H652" i="3"/>
  <c r="E652" i="3" s="1"/>
  <c r="H651" i="3"/>
  <c r="E651" i="3" s="1"/>
  <c r="E650" i="3"/>
  <c r="E649" i="3"/>
  <c r="E648" i="3"/>
  <c r="E647" i="3"/>
  <c r="C647" i="3"/>
  <c r="E646" i="3"/>
  <c r="E645" i="3"/>
  <c r="E644" i="3"/>
  <c r="E643" i="3"/>
  <c r="E642" i="3"/>
  <c r="E641" i="3"/>
  <c r="E640" i="3"/>
  <c r="E639" i="3"/>
  <c r="E638" i="3"/>
  <c r="C638" i="3"/>
  <c r="E637" i="3"/>
  <c r="E636" i="3"/>
  <c r="H635" i="3"/>
  <c r="E635" i="3" s="1"/>
  <c r="H634" i="3"/>
  <c r="E634" i="3" s="1"/>
  <c r="E633" i="3"/>
  <c r="E632" i="3"/>
  <c r="E631" i="3"/>
  <c r="E630" i="3"/>
  <c r="E629" i="3"/>
  <c r="C629" i="3"/>
  <c r="E628" i="3"/>
  <c r="E627" i="3"/>
  <c r="E626" i="3"/>
  <c r="E625" i="3"/>
  <c r="E624" i="3"/>
  <c r="E623" i="3"/>
  <c r="E622" i="3"/>
  <c r="E621" i="3"/>
  <c r="E620" i="3"/>
  <c r="C620" i="3"/>
  <c r="E619" i="3"/>
  <c r="E618" i="3"/>
  <c r="F617" i="3"/>
  <c r="F837" i="3" s="1"/>
  <c r="F616" i="3"/>
  <c r="F836" i="3" s="1"/>
  <c r="F615" i="3"/>
  <c r="F835" i="3" s="1"/>
  <c r="E614" i="3"/>
  <c r="E613" i="3"/>
  <c r="E612" i="3"/>
  <c r="E611" i="3"/>
  <c r="C611" i="3"/>
  <c r="I610" i="3"/>
  <c r="I609" i="3"/>
  <c r="H609" i="3" s="1"/>
  <c r="E609" i="3" s="1"/>
  <c r="I608" i="3"/>
  <c r="H608" i="3" s="1"/>
  <c r="G608" i="3"/>
  <c r="I607" i="3"/>
  <c r="H607" i="3" s="1"/>
  <c r="G607" i="3"/>
  <c r="H606" i="3"/>
  <c r="E606" i="3" s="1"/>
  <c r="E605" i="3"/>
  <c r="E604" i="3"/>
  <c r="E603" i="3"/>
  <c r="E602" i="3"/>
  <c r="C602" i="3"/>
  <c r="E601" i="3"/>
  <c r="E600" i="3"/>
  <c r="E599" i="3"/>
  <c r="E598" i="3"/>
  <c r="E597" i="3"/>
  <c r="E596" i="3"/>
  <c r="E595" i="3"/>
  <c r="E594" i="3"/>
  <c r="E593" i="3"/>
  <c r="C593" i="3"/>
  <c r="E592" i="3"/>
  <c r="E591" i="3"/>
  <c r="E590" i="3"/>
  <c r="E589" i="3"/>
  <c r="E588" i="3"/>
  <c r="E587" i="3"/>
  <c r="E586" i="3"/>
  <c r="E585" i="3"/>
  <c r="E584" i="3"/>
  <c r="C584" i="3"/>
  <c r="E583" i="3"/>
  <c r="E582" i="3"/>
  <c r="E581" i="3"/>
  <c r="E580" i="3"/>
  <c r="E579" i="3"/>
  <c r="E578" i="3"/>
  <c r="E577" i="3"/>
  <c r="E576" i="3"/>
  <c r="E575" i="3"/>
  <c r="C575" i="3"/>
  <c r="E574" i="3"/>
  <c r="E573" i="3"/>
  <c r="E572" i="3"/>
  <c r="E571" i="3"/>
  <c r="E570" i="3"/>
  <c r="E569" i="3"/>
  <c r="E568" i="3"/>
  <c r="E567" i="3"/>
  <c r="E566" i="3"/>
  <c r="C566" i="3"/>
  <c r="E565" i="3"/>
  <c r="E564" i="3"/>
  <c r="E563" i="3"/>
  <c r="E562" i="3"/>
  <c r="E561" i="3"/>
  <c r="E560" i="3"/>
  <c r="E559" i="3"/>
  <c r="E558" i="3"/>
  <c r="E557" i="3"/>
  <c r="C557" i="3"/>
  <c r="E556" i="3"/>
  <c r="E555" i="3"/>
  <c r="E554" i="3"/>
  <c r="E553" i="3"/>
  <c r="E552" i="3"/>
  <c r="E551" i="3"/>
  <c r="E550" i="3"/>
  <c r="E549" i="3"/>
  <c r="E548" i="3"/>
  <c r="C548" i="3"/>
  <c r="E547" i="3"/>
  <c r="E546" i="3"/>
  <c r="E545" i="3"/>
  <c r="E544" i="3"/>
  <c r="E543" i="3"/>
  <c r="E542" i="3"/>
  <c r="E541" i="3"/>
  <c r="E540" i="3"/>
  <c r="E539" i="3"/>
  <c r="C539" i="3"/>
  <c r="E538" i="3"/>
  <c r="E537" i="3"/>
  <c r="H536" i="3"/>
  <c r="G536" i="3"/>
  <c r="I535" i="3"/>
  <c r="H535" i="3"/>
  <c r="G535" i="3"/>
  <c r="E534" i="3"/>
  <c r="E533" i="3"/>
  <c r="E532" i="3"/>
  <c r="E531" i="3"/>
  <c r="E530" i="3"/>
  <c r="C530" i="3"/>
  <c r="E529" i="3"/>
  <c r="E528" i="3"/>
  <c r="E527" i="3"/>
  <c r="E526" i="3"/>
  <c r="E525" i="3"/>
  <c r="E524" i="3"/>
  <c r="E523" i="3"/>
  <c r="E522" i="3"/>
  <c r="E521" i="3"/>
  <c r="C521" i="3"/>
  <c r="E520" i="3"/>
  <c r="E519" i="3"/>
  <c r="E518" i="3"/>
  <c r="E517" i="3"/>
  <c r="E516" i="3"/>
  <c r="E515" i="3"/>
  <c r="E514" i="3"/>
  <c r="E513" i="3"/>
  <c r="E512" i="3"/>
  <c r="C512" i="3"/>
  <c r="E511" i="3"/>
  <c r="E510" i="3"/>
  <c r="E509" i="3"/>
  <c r="E508" i="3"/>
  <c r="E507" i="3"/>
  <c r="E506" i="3"/>
  <c r="E505" i="3"/>
  <c r="E504" i="3"/>
  <c r="E503" i="3"/>
  <c r="C503" i="3"/>
  <c r="E502" i="3"/>
  <c r="E501" i="3"/>
  <c r="E500" i="3"/>
  <c r="E499" i="3"/>
  <c r="E498" i="3"/>
  <c r="E497" i="3"/>
  <c r="E496" i="3"/>
  <c r="E495" i="3"/>
  <c r="E494" i="3"/>
  <c r="C494" i="3"/>
  <c r="E493" i="3"/>
  <c r="H492" i="3"/>
  <c r="E492" i="3" s="1"/>
  <c r="E491" i="3"/>
  <c r="E490" i="3"/>
  <c r="E489" i="3"/>
  <c r="E488" i="3"/>
  <c r="E487" i="3"/>
  <c r="E486" i="3"/>
  <c r="E485" i="3"/>
  <c r="C485" i="3"/>
  <c r="E484" i="3"/>
  <c r="E483" i="3"/>
  <c r="H482" i="3"/>
  <c r="E482" i="3" s="1"/>
  <c r="H481" i="3"/>
  <c r="E481" i="3" s="1"/>
  <c r="H480" i="3"/>
  <c r="E480" i="3" s="1"/>
  <c r="E479" i="3"/>
  <c r="E478" i="3"/>
  <c r="E477" i="3"/>
  <c r="E476" i="3"/>
  <c r="C476" i="3"/>
  <c r="E475" i="3"/>
  <c r="E474" i="3"/>
  <c r="G473" i="3"/>
  <c r="E473" i="3" s="1"/>
  <c r="E472" i="3"/>
  <c r="E471" i="3"/>
  <c r="E470" i="3"/>
  <c r="E469" i="3"/>
  <c r="E468" i="3"/>
  <c r="E467" i="3"/>
  <c r="C467" i="3"/>
  <c r="E466" i="3"/>
  <c r="E465" i="3"/>
  <c r="E464" i="3"/>
  <c r="E463" i="3"/>
  <c r="E462" i="3"/>
  <c r="E461" i="3"/>
  <c r="E460" i="3"/>
  <c r="E459" i="3"/>
  <c r="E458" i="3"/>
  <c r="C458" i="3"/>
  <c r="E457" i="3"/>
  <c r="E456" i="3"/>
  <c r="E455" i="3"/>
  <c r="E454" i="3"/>
  <c r="E453" i="3"/>
  <c r="E452" i="3"/>
  <c r="E451" i="3"/>
  <c r="E450" i="3"/>
  <c r="E449" i="3"/>
  <c r="C449" i="3"/>
  <c r="E448" i="3"/>
  <c r="E447" i="3"/>
  <c r="H446" i="3"/>
  <c r="E446" i="3" s="1"/>
  <c r="H445" i="3"/>
  <c r="E445" i="3" s="1"/>
  <c r="H444" i="3"/>
  <c r="E444" i="3" s="1"/>
  <c r="E443" i="3"/>
  <c r="E442" i="3"/>
  <c r="E441" i="3"/>
  <c r="E440" i="3"/>
  <c r="C440" i="3"/>
  <c r="E439" i="3"/>
  <c r="E438" i="3"/>
  <c r="E437" i="3"/>
  <c r="E436" i="3"/>
  <c r="E435" i="3"/>
  <c r="E434" i="3"/>
  <c r="E433" i="3"/>
  <c r="E432" i="3"/>
  <c r="E431" i="3"/>
  <c r="C431" i="3"/>
  <c r="G430" i="3"/>
  <c r="E430" i="3" s="1"/>
  <c r="G429" i="3"/>
  <c r="E429" i="3" s="1"/>
  <c r="G428" i="3"/>
  <c r="E428" i="3" s="1"/>
  <c r="G427" i="3"/>
  <c r="E427" i="3" s="1"/>
  <c r="G426" i="3"/>
  <c r="E426" i="3" s="1"/>
  <c r="E425" i="3"/>
  <c r="E424" i="3"/>
  <c r="E423" i="3"/>
  <c r="E422" i="3"/>
  <c r="C422" i="3"/>
  <c r="E421" i="3"/>
  <c r="E420" i="3"/>
  <c r="E419" i="3"/>
  <c r="E418" i="3"/>
  <c r="E417" i="3"/>
  <c r="E416" i="3"/>
  <c r="E415" i="3"/>
  <c r="E414" i="3"/>
  <c r="E413" i="3"/>
  <c r="C413" i="3"/>
  <c r="H412" i="3"/>
  <c r="E412" i="3" s="1"/>
  <c r="H411" i="3"/>
  <c r="E411" i="3" s="1"/>
  <c r="H410" i="3"/>
  <c r="E410" i="3" s="1"/>
  <c r="H409" i="3"/>
  <c r="E409" i="3" s="1"/>
  <c r="H408" i="3"/>
  <c r="E408" i="3" s="1"/>
  <c r="E407" i="3"/>
  <c r="E406" i="3"/>
  <c r="E405" i="3"/>
  <c r="E404" i="3"/>
  <c r="C404" i="3"/>
  <c r="E403" i="3"/>
  <c r="E402" i="3"/>
  <c r="E401" i="3"/>
  <c r="E400" i="3"/>
  <c r="E399" i="3"/>
  <c r="E398" i="3"/>
  <c r="E397" i="3"/>
  <c r="E396" i="3"/>
  <c r="E395" i="3"/>
  <c r="C395" i="3"/>
  <c r="E394" i="3"/>
  <c r="E393" i="3"/>
  <c r="E392" i="3"/>
  <c r="E391" i="3"/>
  <c r="I390" i="3"/>
  <c r="H390" i="3"/>
  <c r="G390" i="3"/>
  <c r="E389" i="3"/>
  <c r="E388" i="3"/>
  <c r="E387" i="3"/>
  <c r="E386" i="3"/>
  <c r="C386" i="3"/>
  <c r="E385" i="3"/>
  <c r="E384" i="3"/>
  <c r="E383" i="3"/>
  <c r="E382" i="3"/>
  <c r="H381" i="3"/>
  <c r="E381" i="3" s="1"/>
  <c r="E380" i="3"/>
  <c r="E379" i="3"/>
  <c r="E378" i="3"/>
  <c r="E377" i="3"/>
  <c r="C377" i="3"/>
  <c r="E376" i="3"/>
  <c r="G375" i="3"/>
  <c r="E375" i="3" s="1"/>
  <c r="G374" i="3"/>
  <c r="E374" i="3" s="1"/>
  <c r="G373" i="3"/>
  <c r="E373" i="3" s="1"/>
  <c r="G372" i="3"/>
  <c r="E372" i="3" s="1"/>
  <c r="E371" i="3"/>
  <c r="E370" i="3"/>
  <c r="E369" i="3"/>
  <c r="E368" i="3"/>
  <c r="C368" i="3"/>
  <c r="E367" i="3"/>
  <c r="E366" i="3"/>
  <c r="E365" i="3"/>
  <c r="E364" i="3"/>
  <c r="E363" i="3"/>
  <c r="E362" i="3"/>
  <c r="E361" i="3"/>
  <c r="E360" i="3"/>
  <c r="E359" i="3"/>
  <c r="C359" i="3"/>
  <c r="H358" i="3"/>
  <c r="E358" i="3" s="1"/>
  <c r="H357" i="3"/>
  <c r="E357" i="3" s="1"/>
  <c r="H356" i="3"/>
  <c r="E356" i="3" s="1"/>
  <c r="H355" i="3"/>
  <c r="E355" i="3" s="1"/>
  <c r="E354" i="3"/>
  <c r="E353" i="3"/>
  <c r="E352" i="3"/>
  <c r="E351" i="3"/>
  <c r="E350" i="3"/>
  <c r="C350" i="3"/>
  <c r="H349" i="3"/>
  <c r="E349" i="3" s="1"/>
  <c r="H348" i="3"/>
  <c r="E348" i="3" s="1"/>
  <c r="H347" i="3"/>
  <c r="E347" i="3" s="1"/>
  <c r="H346" i="3"/>
  <c r="E346" i="3" s="1"/>
  <c r="H345" i="3"/>
  <c r="E345" i="3" s="1"/>
  <c r="E344" i="3"/>
  <c r="E343" i="3"/>
  <c r="E342" i="3"/>
  <c r="E341" i="3"/>
  <c r="C341" i="3"/>
  <c r="H340" i="3"/>
  <c r="E340" i="3" s="1"/>
  <c r="H339" i="3"/>
  <c r="E339" i="3" s="1"/>
  <c r="H338" i="3"/>
  <c r="E338" i="3" s="1"/>
  <c r="H337" i="3"/>
  <c r="E337" i="3" s="1"/>
  <c r="H336" i="3"/>
  <c r="E336" i="3" s="1"/>
  <c r="E335" i="3"/>
  <c r="E334" i="3"/>
  <c r="E333" i="3"/>
  <c r="E332" i="3"/>
  <c r="C332" i="3"/>
  <c r="G331" i="3"/>
  <c r="E331" i="3" s="1"/>
  <c r="G330" i="3"/>
  <c r="E330" i="3" s="1"/>
  <c r="G329" i="3"/>
  <c r="E329" i="3" s="1"/>
  <c r="G328" i="3"/>
  <c r="E328" i="3" s="1"/>
  <c r="G327" i="3"/>
  <c r="E327" i="3" s="1"/>
  <c r="E326" i="3"/>
  <c r="E325" i="3"/>
  <c r="E324" i="3"/>
  <c r="E323" i="3"/>
  <c r="C323" i="3"/>
  <c r="G322" i="3"/>
  <c r="E322" i="3" s="1"/>
  <c r="G321" i="3"/>
  <c r="E321" i="3" s="1"/>
  <c r="G320" i="3"/>
  <c r="E320" i="3" s="1"/>
  <c r="G319" i="3"/>
  <c r="E319" i="3" s="1"/>
  <c r="G318" i="3"/>
  <c r="E318" i="3" s="1"/>
  <c r="E317" i="3"/>
  <c r="E316" i="3"/>
  <c r="E315" i="3"/>
  <c r="E314" i="3"/>
  <c r="C314" i="3"/>
  <c r="G313" i="3"/>
  <c r="E313" i="3" s="1"/>
  <c r="G312" i="3"/>
  <c r="E312" i="3" s="1"/>
  <c r="G311" i="3"/>
  <c r="E311" i="3" s="1"/>
  <c r="E310" i="3"/>
  <c r="E309" i="3"/>
  <c r="E308" i="3"/>
  <c r="E307" i="3"/>
  <c r="E306" i="3"/>
  <c r="E305" i="3"/>
  <c r="C305" i="3"/>
  <c r="E304" i="3"/>
  <c r="E303" i="3"/>
  <c r="E302" i="3"/>
  <c r="E301" i="3"/>
  <c r="E300" i="3"/>
  <c r="E299" i="3"/>
  <c r="E298" i="3"/>
  <c r="E297" i="3"/>
  <c r="E296" i="3"/>
  <c r="E295" i="3"/>
  <c r="E294" i="3"/>
  <c r="H293" i="3"/>
  <c r="E293" i="3" s="1"/>
  <c r="H292" i="3"/>
  <c r="E292" i="3" s="1"/>
  <c r="E291" i="3"/>
  <c r="E290" i="3"/>
  <c r="E289" i="3"/>
  <c r="E288" i="3"/>
  <c r="E287" i="3"/>
  <c r="H286" i="3"/>
  <c r="E286" i="3" s="1"/>
  <c r="H285" i="3"/>
  <c r="E285" i="3" s="1"/>
  <c r="H284" i="3"/>
  <c r="E284" i="3" s="1"/>
  <c r="E283" i="3"/>
  <c r="E282" i="3"/>
  <c r="E281" i="3"/>
  <c r="E280" i="3"/>
  <c r="E279" i="3"/>
  <c r="E278" i="3"/>
  <c r="E277" i="3"/>
  <c r="E276" i="3"/>
  <c r="E275" i="3"/>
  <c r="E274" i="3"/>
  <c r="E273" i="3"/>
  <c r="E272" i="3"/>
  <c r="E271" i="3"/>
  <c r="E270" i="3"/>
  <c r="E269" i="3"/>
  <c r="E268" i="3"/>
  <c r="E267" i="3"/>
  <c r="H266" i="3"/>
  <c r="E266" i="3" s="1"/>
  <c r="E265" i="3"/>
  <c r="E264" i="3"/>
  <c r="E263" i="3"/>
  <c r="E262" i="3"/>
  <c r="E261" i="3"/>
  <c r="E260" i="3"/>
  <c r="E259" i="3"/>
  <c r="E258" i="3"/>
  <c r="H257" i="3"/>
  <c r="H236" i="3" s="1"/>
  <c r="E256" i="3"/>
  <c r="E255" i="3"/>
  <c r="E253" i="3"/>
  <c r="E252" i="3"/>
  <c r="E251" i="3"/>
  <c r="E250" i="3"/>
  <c r="E249" i="3"/>
  <c r="E248" i="3"/>
  <c r="E247" i="3"/>
  <c r="E246" i="3"/>
  <c r="E245" i="3"/>
  <c r="H244" i="3"/>
  <c r="E244" i="3" s="1"/>
  <c r="H243" i="3"/>
  <c r="H234" i="3" s="1"/>
  <c r="E234" i="3" s="1"/>
  <c r="E242" i="3"/>
  <c r="E241" i="3"/>
  <c r="E240" i="3"/>
  <c r="E239" i="3"/>
  <c r="H238" i="3"/>
  <c r="E238" i="3" s="1"/>
  <c r="M235" i="3"/>
  <c r="E233" i="3"/>
  <c r="E232" i="3"/>
  <c r="E231" i="3"/>
  <c r="E230" i="3"/>
  <c r="C230" i="3"/>
  <c r="H224" i="3"/>
  <c r="E224" i="3" s="1"/>
  <c r="H223" i="3"/>
  <c r="E223" i="3" s="1"/>
  <c r="H222" i="3"/>
  <c r="E222" i="3" s="1"/>
  <c r="H221" i="3"/>
  <c r="E221" i="3" s="1"/>
  <c r="E220" i="3"/>
  <c r="E219" i="3"/>
  <c r="J218" i="3"/>
  <c r="E218" i="3" s="1"/>
  <c r="J217" i="3"/>
  <c r="E217" i="3" s="1"/>
  <c r="E216" i="3"/>
  <c r="E215" i="3"/>
  <c r="E214" i="3"/>
  <c r="E213" i="3"/>
  <c r="E212" i="3"/>
  <c r="E211" i="3"/>
  <c r="E210" i="3"/>
  <c r="E209" i="3"/>
  <c r="E208" i="3"/>
  <c r="E207" i="3"/>
  <c r="E206" i="3"/>
  <c r="E205" i="3"/>
  <c r="E204" i="3"/>
  <c r="E203" i="3"/>
  <c r="E202" i="3"/>
  <c r="E201" i="3"/>
  <c r="E200" i="3"/>
  <c r="H199" i="3"/>
  <c r="E199" i="3" s="1"/>
  <c r="H198" i="3"/>
  <c r="E198" i="3" s="1"/>
  <c r="E197" i="3"/>
  <c r="E196" i="3"/>
  <c r="E195" i="3"/>
  <c r="E194" i="3"/>
  <c r="H193" i="3"/>
  <c r="H148" i="3" s="1"/>
  <c r="H192" i="3"/>
  <c r="E192" i="3" s="1"/>
  <c r="H191" i="3"/>
  <c r="E191" i="3" s="1"/>
  <c r="H190" i="3"/>
  <c r="E190" i="3" s="1"/>
  <c r="H189" i="3"/>
  <c r="E189" i="3" s="1"/>
  <c r="E188" i="3"/>
  <c r="E187" i="3"/>
  <c r="E186" i="3"/>
  <c r="E185" i="3"/>
  <c r="E184" i="3"/>
  <c r="E183" i="3"/>
  <c r="H182" i="3"/>
  <c r="H181" i="3"/>
  <c r="E181" i="3" s="1"/>
  <c r="H180" i="3"/>
  <c r="E180" i="3" s="1"/>
  <c r="E179" i="3"/>
  <c r="E178" i="3"/>
  <c r="E177" i="3"/>
  <c r="E176" i="3"/>
  <c r="E175" i="3"/>
  <c r="E174" i="3"/>
  <c r="E173" i="3"/>
  <c r="E172" i="3"/>
  <c r="E171" i="3"/>
  <c r="E170" i="3"/>
  <c r="E169" i="3"/>
  <c r="E168" i="3"/>
  <c r="E167" i="3"/>
  <c r="G166" i="3"/>
  <c r="G165" i="3"/>
  <c r="G156" i="3" s="1"/>
  <c r="G164" i="3"/>
  <c r="G163" i="3"/>
  <c r="E163" i="3" s="1"/>
  <c r="E162" i="3"/>
  <c r="E161" i="3"/>
  <c r="E160" i="3"/>
  <c r="E159" i="3"/>
  <c r="E158" i="3"/>
  <c r="H154" i="3"/>
  <c r="G154" i="3"/>
  <c r="H153" i="3"/>
  <c r="G153" i="3"/>
  <c r="E152" i="3"/>
  <c r="E151" i="3"/>
  <c r="E150" i="3"/>
  <c r="E149" i="3"/>
  <c r="H143" i="3"/>
  <c r="G143" i="3"/>
  <c r="H142" i="3"/>
  <c r="G142" i="3"/>
  <c r="H141" i="3"/>
  <c r="G141" i="3"/>
  <c r="H140" i="3"/>
  <c r="G140" i="3"/>
  <c r="E139" i="3"/>
  <c r="E138" i="3"/>
  <c r="J137" i="3"/>
  <c r="J136" i="3"/>
  <c r="J135" i="3"/>
  <c r="J835" i="3" s="1"/>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H101" i="3"/>
  <c r="E101" i="3" s="1"/>
  <c r="E100" i="3"/>
  <c r="E99" i="3"/>
  <c r="E98" i="3"/>
  <c r="E97" i="3"/>
  <c r="E96" i="3"/>
  <c r="E95" i="3"/>
  <c r="E94" i="3"/>
  <c r="E93" i="3"/>
  <c r="E92" i="3"/>
  <c r="G91" i="3"/>
  <c r="E91" i="3" s="1"/>
  <c r="E90" i="3"/>
  <c r="E89" i="3"/>
  <c r="E88" i="3"/>
  <c r="E87" i="3"/>
  <c r="E86" i="3"/>
  <c r="G85" i="3"/>
  <c r="G76" i="3" s="1"/>
  <c r="G84" i="3"/>
  <c r="E84" i="3" s="1"/>
  <c r="H83" i="3"/>
  <c r="G83" i="3"/>
  <c r="H82" i="3"/>
  <c r="H73" i="3" s="1"/>
  <c r="G82" i="3"/>
  <c r="H81" i="3"/>
  <c r="H72" i="3" s="1"/>
  <c r="G81" i="3"/>
  <c r="G72" i="3" s="1"/>
  <c r="E80" i="3"/>
  <c r="E79" i="3"/>
  <c r="E78" i="3"/>
  <c r="E77" i="3"/>
  <c r="H76" i="3"/>
  <c r="H75" i="3"/>
  <c r="H71" i="3"/>
  <c r="G71" i="3"/>
  <c r="H70" i="3"/>
  <c r="G70" i="3"/>
  <c r="H69" i="3"/>
  <c r="G69" i="3"/>
  <c r="H68" i="3"/>
  <c r="G68" i="3"/>
  <c r="J64" i="3"/>
  <c r="I64" i="3"/>
  <c r="H64" i="3"/>
  <c r="G64" i="3"/>
  <c r="F64" i="3"/>
  <c r="E63" i="3"/>
  <c r="E62" i="3"/>
  <c r="E61" i="3"/>
  <c r="E60" i="3"/>
  <c r="E59" i="3"/>
  <c r="E58" i="3"/>
  <c r="E57" i="3"/>
  <c r="E56" i="3"/>
  <c r="E55" i="3"/>
  <c r="J51" i="3"/>
  <c r="I51" i="3"/>
  <c r="G51" i="3"/>
  <c r="F51" i="3"/>
  <c r="E50" i="3"/>
  <c r="E49" i="3"/>
  <c r="E48" i="3"/>
  <c r="H47" i="3"/>
  <c r="H51" i="3" s="1"/>
  <c r="E46" i="3"/>
  <c r="E45" i="3"/>
  <c r="E44" i="3"/>
  <c r="E43" i="3"/>
  <c r="E42" i="3"/>
  <c r="E41" i="3"/>
  <c r="E40" i="3"/>
  <c r="E39" i="3"/>
  <c r="E38" i="3"/>
  <c r="E37" i="3"/>
  <c r="E36" i="3"/>
  <c r="E35" i="3"/>
  <c r="E34" i="3"/>
  <c r="E33" i="3"/>
  <c r="J29" i="3"/>
  <c r="I29" i="3"/>
  <c r="G29" i="3"/>
  <c r="F29" i="3"/>
  <c r="E28" i="3"/>
  <c r="H27" i="3"/>
  <c r="E27" i="3" s="1"/>
  <c r="H26" i="3"/>
  <c r="E26" i="3" s="1"/>
  <c r="H25" i="3"/>
  <c r="E24" i="3"/>
  <c r="E23" i="3"/>
  <c r="E22" i="3"/>
  <c r="E21" i="3"/>
  <c r="E20" i="3"/>
  <c r="E19" i="3"/>
  <c r="E18" i="3"/>
  <c r="H17" i="3"/>
  <c r="E17" i="3" s="1"/>
  <c r="H16" i="3"/>
  <c r="E16" i="3" s="1"/>
  <c r="E15" i="3"/>
  <c r="E14" i="3"/>
  <c r="E13" i="3"/>
  <c r="E12" i="3"/>
  <c r="E11" i="3"/>
  <c r="E615" i="3" l="1"/>
  <c r="E828" i="3"/>
  <c r="E142" i="3"/>
  <c r="E535" i="3"/>
  <c r="E68" i="3"/>
  <c r="H147" i="3"/>
  <c r="E69" i="3"/>
  <c r="E71" i="3"/>
  <c r="H74" i="3"/>
  <c r="H144" i="3"/>
  <c r="E154" i="3"/>
  <c r="H146" i="3"/>
  <c r="E143" i="3"/>
  <c r="G831" i="3"/>
  <c r="E831" i="3" s="1"/>
  <c r="H145" i="3"/>
  <c r="E390" i="3"/>
  <c r="G75" i="3"/>
  <c r="E75" i="3" s="1"/>
  <c r="H830" i="3"/>
  <c r="E64" i="3"/>
  <c r="E153" i="3"/>
  <c r="E165" i="3"/>
  <c r="E182" i="3"/>
  <c r="E193" i="3"/>
  <c r="E257" i="3"/>
  <c r="E818" i="3"/>
  <c r="E827" i="3"/>
  <c r="I809" i="3"/>
  <c r="J837" i="3"/>
  <c r="E83" i="3"/>
  <c r="E85" i="3"/>
  <c r="E135" i="3"/>
  <c r="E536" i="3"/>
  <c r="E617" i="3"/>
  <c r="E141" i="3"/>
  <c r="E76" i="3"/>
  <c r="H227" i="3"/>
  <c r="E227" i="3" s="1"/>
  <c r="E236" i="3"/>
  <c r="E616" i="3"/>
  <c r="E697" i="3"/>
  <c r="E817" i="3"/>
  <c r="H29" i="3"/>
  <c r="E29" i="3" s="1"/>
  <c r="G144" i="3"/>
  <c r="H225" i="3"/>
  <c r="E225" i="3" s="1"/>
  <c r="M809" i="3"/>
  <c r="G74" i="3"/>
  <c r="E74" i="3" s="1"/>
  <c r="H235" i="3"/>
  <c r="H836" i="3" s="1"/>
  <c r="E680" i="3"/>
  <c r="E826" i="3"/>
  <c r="E25" i="3"/>
  <c r="E51" i="3"/>
  <c r="G833" i="3"/>
  <c r="E833" i="3" s="1"/>
  <c r="E72" i="3"/>
  <c r="E137" i="3"/>
  <c r="E140" i="3"/>
  <c r="G145" i="3"/>
  <c r="H229" i="3"/>
  <c r="E229" i="3" s="1"/>
  <c r="E243" i="3"/>
  <c r="I836" i="3"/>
  <c r="E825" i="3"/>
  <c r="G147" i="3"/>
  <c r="E156" i="3"/>
  <c r="I835" i="3"/>
  <c r="H610" i="3"/>
  <c r="E610" i="3" s="1"/>
  <c r="I839" i="3"/>
  <c r="G832" i="3"/>
  <c r="E832" i="3" s="1"/>
  <c r="H835" i="3"/>
  <c r="J809" i="3"/>
  <c r="H837" i="3"/>
  <c r="M837" i="3" s="1"/>
  <c r="H838" i="3"/>
  <c r="M838" i="3" s="1"/>
  <c r="E82" i="3"/>
  <c r="E166" i="3"/>
  <c r="G157" i="3"/>
  <c r="E608" i="3"/>
  <c r="I838" i="3"/>
  <c r="F809" i="3"/>
  <c r="G830" i="3"/>
  <c r="G834" i="3"/>
  <c r="E834" i="3" s="1"/>
  <c r="I837" i="3"/>
  <c r="E47" i="3"/>
  <c r="E70" i="3"/>
  <c r="G73" i="3"/>
  <c r="E81" i="3"/>
  <c r="J836" i="3"/>
  <c r="E136" i="3"/>
  <c r="E164" i="3"/>
  <c r="G155" i="3"/>
  <c r="H228" i="3"/>
  <c r="E228" i="3" s="1"/>
  <c r="E607" i="3"/>
  <c r="E706" i="3"/>
  <c r="E829" i="3"/>
  <c r="F840" i="3"/>
  <c r="E144" i="3" l="1"/>
  <c r="J840" i="3"/>
  <c r="G835" i="3"/>
  <c r="E835" i="3" s="1"/>
  <c r="E145" i="3"/>
  <c r="H839" i="3"/>
  <c r="M839" i="3" s="1"/>
  <c r="E830" i="3"/>
  <c r="G809" i="3"/>
  <c r="I840" i="3"/>
  <c r="E235" i="3"/>
  <c r="H226" i="3"/>
  <c r="E226" i="3" s="1"/>
  <c r="E157" i="3"/>
  <c r="G148" i="3"/>
  <c r="E147" i="3"/>
  <c r="G838" i="3"/>
  <c r="E838" i="3" s="1"/>
  <c r="E155" i="3"/>
  <c r="G146" i="3"/>
  <c r="M752" i="3" s="1"/>
  <c r="M753" i="3" s="1"/>
  <c r="G836" i="3"/>
  <c r="E73" i="3"/>
  <c r="M812" i="3"/>
  <c r="M811" i="3" s="1"/>
  <c r="H840" i="3" l="1"/>
  <c r="M819" i="3"/>
  <c r="H809" i="3"/>
  <c r="M810" i="3" s="1"/>
  <c r="E146" i="3"/>
  <c r="G837" i="3"/>
  <c r="E836" i="3"/>
  <c r="G839" i="3"/>
  <c r="E839" i="3" s="1"/>
  <c r="E148" i="3"/>
  <c r="G840" i="3" l="1"/>
  <c r="E840" i="3" s="1"/>
  <c r="E809" i="3"/>
  <c r="E837" i="3"/>
  <c r="N848" i="3"/>
</calcChain>
</file>

<file path=xl/sharedStrings.xml><?xml version="1.0" encoding="utf-8"?>
<sst xmlns="http://schemas.openxmlformats.org/spreadsheetml/2006/main" count="453" uniqueCount="350">
  <si>
    <t>Наименование мероприятия</t>
  </si>
  <si>
    <t>Непосредственный результат реализации мероприятий</t>
  </si>
  <si>
    <t>1.</t>
  </si>
  <si>
    <t>1. Создание условий для обеспечения инновационного характера образования</t>
  </si>
  <si>
    <t>Местный бюджет</t>
  </si>
  <si>
    <t>Приобретение автобусов и микроавтобусов для муниципальных образовательных организаций</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</si>
  <si>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</si>
  <si>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Приобретение автобусов и микроавтобусов для обеспечения подвоза учащихся</t>
  </si>
  <si>
    <t>ИТОГО</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</si>
  <si>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(приобретение автобусов и микроавтобусов для муниципальных образовательных организаций)</t>
  </si>
  <si>
    <t>1.1</t>
  </si>
  <si>
    <t>1.2</t>
  </si>
  <si>
    <t>2.</t>
  </si>
  <si>
    <t>Приложение №2</t>
  </si>
  <si>
    <t>к муниципальной программе</t>
  </si>
  <si>
    <t>Внебюджетные средства</t>
  </si>
  <si>
    <t>5.2</t>
  </si>
  <si>
    <t>Обеспечение выполнения функций управления в области образования</t>
  </si>
  <si>
    <t>Финансовое обеспечение выполнения функций управления в области образования</t>
  </si>
  <si>
    <t>Администрация муниципального образования Северский район, управление образования</t>
  </si>
  <si>
    <t>** Подпункт 1.3.3 пункта 1.3. государственной программы Краснодарского края «Развитие образования». Приобретение движимого имущества для оснащения вновь созданных мест в муниципальных общеобразовательных организациях»</t>
  </si>
  <si>
    <t>* Пункт 1.1.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созданию условий для содержания детей дошкольного возраста в муниципальных образовательных организациях.</t>
  </si>
  <si>
    <t xml:space="preserve">     Пункт 1.3.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(за исключением мероприятий, предусмотренных пунктом 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</si>
  <si>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автобусов и микроавтобусов для обеспечения подвоза учащихся)</t>
  </si>
  <si>
    <t>2.Модернизация образования как института воспитания и социального развития</t>
  </si>
  <si>
    <t>2.1</t>
  </si>
  <si>
    <t>2.2</t>
  </si>
  <si>
    <t>Организация мероприятий, направленных на повышение престижа отрасли</t>
  </si>
  <si>
    <t xml:space="preserve">Предоставление субсидий на мероприятия по патриотическому воспитанию граждан </t>
  </si>
  <si>
    <t>Обеспечение проведения учебных сборов учащихся (юношей) 10-х классов</t>
  </si>
  <si>
    <t>Повышение престижа</t>
  </si>
  <si>
    <t>Администрация муниципального образования Северский район, управление образования, образовательные организации</t>
  </si>
  <si>
    <t>3.</t>
  </si>
  <si>
    <t>Создание условий для повышения профессионализма и эстетического воспитания управленческих, педагогических кадров, тьюторов по ЕГЭ, экспертов предметных комиссий по ОГЭ и ЕГЭ, работников системы образования района, сопровождающие (проведение, участие в конкурсах, семинарах, выставках, совещаниях, форумах, профессиональных праздниках и других мероприятиях)</t>
  </si>
  <si>
    <t>3.1</t>
  </si>
  <si>
    <t>Проведение, участие в конкурсах, семинарах, выставках, совещаниях, форумах, профессиональных праздниках и др.</t>
  </si>
  <si>
    <t>4.</t>
  </si>
  <si>
    <t>4. Финансовое обеспечение деятельности образовательных организаций</t>
  </si>
  <si>
    <t>4.1</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</si>
  <si>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</si>
  <si>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в том числе:
расходы на обеспечение деятельности муниципальных учреждений (муниципальное задание);</t>
  </si>
  <si>
    <t>реализация мероприятий в области образования (обеспечение льготным питанием)</t>
  </si>
  <si>
    <t xml:space="preserve"> ввод в эксплуатацию объектов</t>
  </si>
  <si>
    <t>прочие расходы:
- родительская плата за присмотр и уход за детьми в муниципальных дошкольных организациях, подведомственных управлению образования администрации муниципального образования Северский район</t>
  </si>
  <si>
    <t>Обеспечение государственных гарантий реализации прав на получение общедоступного и бесплатного дошкольного образования, а так же осуществление присмотра и ухода и др.</t>
  </si>
  <si>
    <t>4.2</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</si>
  <si>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образовательных организациях
</t>
  </si>
  <si>
    <t>в том числе:
расходы на обеспечение деятельности муниципальных учреждений, (муниципальное задание);</t>
  </si>
  <si>
    <t xml:space="preserve">реализация мероприятий в области образования  в том числе:
-организация питания обучающихся общеобразовательных организаций муниципального образования Северский район
</t>
  </si>
  <si>
    <t xml:space="preserve"> обеспечение льготным питанием в дошкольных группах</t>
  </si>
  <si>
    <t xml:space="preserve">ввод в эксплуатацию объектов
</t>
  </si>
  <si>
    <t>прочие расходы:
- родительская плата за питание обучающихся в муниципальных общеобразовательных организациях</t>
  </si>
  <si>
    <t>4.3</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</si>
  <si>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дополнительного образования детей, в том числе:
</t>
  </si>
  <si>
    <t>1) расходы на обеспечение деятельности муниципальных учреждений, (муниципальное задание);</t>
  </si>
  <si>
    <t>в том числе:
- обеспечение  функционирования системы персонифицированного финансирования дополнительного образования детей</t>
  </si>
  <si>
    <t>4.4</t>
  </si>
  <si>
    <t>Предоставление субсидий образовательным организациям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</si>
  <si>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Обеспечение государственных гарантий реализации прав на получение дошкольного образования детей в частных дошкольных образовательных организациях</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</si>
  <si>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t>
  </si>
  <si>
    <t>В соответствии с нормативно-правовыми актами</t>
  </si>
  <si>
    <t>4.5</t>
  </si>
  <si>
    <t>Предоставление субсидий на финансовое обеспечение получения дошкольного образования в частных дошкольных образовательных организациях, включающим расходы на предоставление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</si>
  <si>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4.6</t>
  </si>
  <si>
    <t>Предоставление субсидий образовательным организациям на предоставление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</si>
  <si>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Предоставление мер социальной поддержки в виде компенсации расходов на оплату жилых помещений, отопления и освещения педагогическим работникам</t>
  </si>
  <si>
    <t>4.7</t>
  </si>
  <si>
    <t xml:space="preserve">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</si>
  <si>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</si>
  <si>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4.8</t>
  </si>
  <si>
    <t>Предоставление субсидий образовательным организациям на подготовительные работы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t>
  </si>
  <si>
    <t xml:space="preserve">Проведение мероприятий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
</t>
  </si>
  <si>
    <t xml:space="preserve">Администрация муниципального образования Северский район, управление образования, образовательные организации
</t>
  </si>
  <si>
    <t>4.9</t>
  </si>
  <si>
    <t>Предоставление субсидий образовательным организациям на обеспечение безопасности образовательных учреждений</t>
  </si>
  <si>
    <t>Обеспечение безопасности образовательных учреждений</t>
  </si>
  <si>
    <t>4.10</t>
  </si>
  <si>
    <t>Предоставление субсидий образовательным организациям на обеспечение пожарной безопасности образовательных учреждений</t>
  </si>
  <si>
    <t xml:space="preserve">Обеспечение пожарной безопасности образовательных учреждений, в том числе: оплата кредиторской задолженности
</t>
  </si>
  <si>
    <t>4.11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</si>
  <si>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части создания в муниципальных общеобразовательных организациях, расположенных в сельской местности, условий для занятий физической культурой и спортом (капитальный ремонт спортивных залов муниципальных общеобразовательных организаций, расположенных в сельской местности)</t>
  </si>
  <si>
    <t>Проведение капитальных ремонтов спортивных залов муниципальных общеобразовательных организаций, расположенных в сельской местности</t>
  </si>
  <si>
    <t>4.12</t>
  </si>
  <si>
    <t xml:space="preserve">Предоставление субсидий образовательным организациям на осуществление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государственной итоговой аттестации по образовательным программам основного общего и среднего общего образования, компенсации за работу по подготовке и проведению указанной государственной итоговой аттестации
</t>
  </si>
  <si>
    <t>Материально –техническое обеспечение пунктов проведения экзаменов для государственной итоговой аттестации, выплаты педагогическим работникам, участвующим в проведении единого государственного экзамена, компенсации за работу по подготовке и проведению единого государственного экзамена</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</si>
  <si>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</si>
  <si>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общеобразовательных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</si>
  <si>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4.13</t>
  </si>
  <si>
    <t xml:space="preserve">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</si>
  <si>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4.14</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</si>
  <si>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Краснодарского края «Успех каждого ребенка»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</si>
  <si>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</si>
  <si>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4.15</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</si>
  <si>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и обследование тахографов, обслуживание ГЛОНАСС)</t>
  </si>
  <si>
    <t>Оплата расходов по регистрации автотранспорта, приобретение запасных частей и комплектующих к автотранспорту, установка и обследование тахографов, обслуживание ГЛОНАСС</t>
  </si>
  <si>
    <t>4.16</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</si>
  <si>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t>
  </si>
  <si>
    <t>4.17</t>
  </si>
  <si>
    <t>Предоставление субсидий образовательным организациям на приобретение, установка и обслуживание дополнительного оборудования для перевозки детей для автобусов и микроавтобусов</t>
  </si>
  <si>
    <t xml:space="preserve">Оплата расходов по приобретению, установке и обслуживанию дополнительного оборудования для перевозки детей для автобусов и микроавтобусов </t>
  </si>
  <si>
    <t>4.18</t>
  </si>
  <si>
    <t xml:space="preserve">Предоставление субсидий образовательным организациям на обеспечение льготным питанием учащихся из многодетных семей в муниципальных общеобразовательных организациях </t>
  </si>
  <si>
    <t xml:space="preserve">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 </t>
  </si>
  <si>
    <t>Предоставление субсидий образовательным организациям на капитальный ремонт спортивных площадок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проведение обследования зданий и сооружений на объекте) и др.</t>
  </si>
  <si>
    <t>Подготовка спортивных площадок к новому учебному году</t>
  </si>
  <si>
    <t>Предоставление субсидий образовательным организациям на капитальный ремонт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и др.</t>
  </si>
  <si>
    <t>4.20</t>
  </si>
  <si>
    <t xml:space="preserve">Осуществление капитального и текущего ремонта,обеспечение благоустройства муниципальных организаций
</t>
  </si>
  <si>
    <t>4.21</t>
  </si>
  <si>
    <t>Предоставление субсидий образовательным организациям на 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</si>
  <si>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Обеспечение благоустройства муниципальных организаций</t>
  </si>
  <si>
    <t>Предоставление субсидий образовательным организациям на оснащение спортивных площадок на территории образовательных организаций</t>
  </si>
  <si>
    <t>4.23</t>
  </si>
  <si>
    <t xml:space="preserve">Предоставление субсидий образовательным организациям на дополнительную помощь местным бюджетам для решения социально значимых вопросов </t>
  </si>
  <si>
    <t>Финансовое обеспечение деятельности муниципальных организаций</t>
  </si>
  <si>
    <t>Администрация муниципального образования Северский район, управление, образовательные организации</t>
  </si>
  <si>
    <t>4.24</t>
  </si>
  <si>
    <t>Предоставление субсидий образовательным организациям на исполнение судебных решений и предписаний надзорных органов, органов принудительного исполнения судебных решений (актов) и др.</t>
  </si>
  <si>
    <t xml:space="preserve">Исполнение судебных решений и предписаний надзорных органов и др., в том числе: оплата кредиторской задолженности
</t>
  </si>
  <si>
    <t>Предоставление субсидий образовательным организациям на оснащение медицинских кабинетов</t>
  </si>
  <si>
    <t>4.25</t>
  </si>
  <si>
    <t xml:space="preserve">Соответствие медицинских кабинетов действующему законодательству, в том числе: кредиторскую задолженность
</t>
  </si>
  <si>
    <t>Предоставление субсидий образовательным организациям на обеспечение защиты информации и информационных систем</t>
  </si>
  <si>
    <t xml:space="preserve">Обеспечение безопасности образовательных учреждений
</t>
  </si>
  <si>
    <t>4.27</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</si>
  <si>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t>
  </si>
  <si>
    <t>Улучшение условий для содержания учащихся и воспитанников общеобразовательных организаций</t>
  </si>
  <si>
    <t>Администрация муниципального образования Северский район, управление, Министерство образования, науки и молодежной политики Краснодарского края, образовательные организации</t>
  </si>
  <si>
    <t>4.28</t>
  </si>
  <si>
    <t>Предоставление субсидий образовательным организациям на организацию предоставления дополнительного образования детям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Краснодарского края (проведение медицинских осмотров лиц, занимающихся физической культурой и спортом, по углубленной программе медицинского обследования)</t>
  </si>
  <si>
    <t>Проведение медицинских осмотров лиц, занимающихся физической культурой и спортом, по углубленной программе медицинского обследования</t>
  </si>
  <si>
    <t>4.29</t>
  </si>
  <si>
    <t>Капитальный ремонт зданий и сооружений и благоустройство территорий, прилегающих к зданиям и сооружениям муниципальных образовательных организаций</t>
  </si>
  <si>
    <t>4.30</t>
  </si>
  <si>
    <t>4.31</t>
  </si>
  <si>
    <t xml:space="preserve">Обновление
материально-технической базы для формирования у обучающихся современных технологических и гуманитарных навыков
</t>
  </si>
  <si>
    <t>4.32</t>
  </si>
  <si>
    <t xml:space="preserve">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t>
  </si>
  <si>
    <t>4.33</t>
  </si>
  <si>
    <t xml:space="preserve">Предоставление субсидий образовательным организациям на мероприятия, направленные на лицензирование деятельности по перевозкам пассажиров и иных лиц автобусами (в т.ч. на оплату государственной пошлины, обучение по аттестации ответственного за обеспечение безопасности дорожного движения и др.)
</t>
  </si>
  <si>
    <t>Оплата государственной пошлины, обучение по аттестации ответственного за обеспечение безопасности дорожного движения и др.</t>
  </si>
  <si>
    <t>4.34</t>
  </si>
  <si>
    <t xml:space="preserve">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t>
  </si>
  <si>
    <t>4.35</t>
  </si>
  <si>
    <t xml:space="preserve">1) Предоставление субсидий образовательным организациям на подготовку к осенне-зимнему периоду
</t>
  </si>
  <si>
    <t xml:space="preserve">2) Подготовка к осенне-зимнему периоду
</t>
  </si>
  <si>
    <t>Обеспечение готовности организаций к осенне-зимнему периоду</t>
  </si>
  <si>
    <t>Администрация муниципального образования Северский район, структурные подразделения администрации</t>
  </si>
  <si>
    <t>Предоставление субсидий образовательным организациям на проведение медицинских осмотров лиц, занимающихся физической культурой и спортом, по углубленной программе медицинского обследования</t>
  </si>
  <si>
    <t xml:space="preserve">Проведение медицинских осмотров лиц, занимающихся физической культурой и спортом, по углубленной программе медицинского обследования
</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</si>
  <si>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</si>
  <si>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4.37</t>
  </si>
  <si>
    <t>Предоставление субсидий образовательным организациям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</si>
  <si>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4.38</t>
  </si>
  <si>
    <t>Предоставление субсидий образовательным организациям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</si>
  <si>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</si>
  <si>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4.39</t>
  </si>
  <si>
    <t xml:space="preserve">Предоставление субсидий образовательным организациям на финансовое обеспечение непредвиденных расходов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созданию условий для осуществления присмотра и ухода за детьми, содержания детей в муниципальных образовательных организациях на софинансирование мероприятий в части оснащения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 </t>
  </si>
  <si>
    <t>Оснащение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t>
  </si>
  <si>
    <t>4.40</t>
  </si>
  <si>
    <t>Выплаты заработной платы и начислений выплат по оплате труда в образовательных организациях во время проведения капитальных ремонтов и других мероприятий (за исключение текущих ремонтов), а так же возмещение данных понесенных расходов</t>
  </si>
  <si>
    <t>4.41</t>
  </si>
  <si>
    <t>Предоставление субсидий образовательным организациям на приобретение теневых навесов, в том числе их установку</t>
  </si>
  <si>
    <t>Приобретение теневых навесов, в том числе их установка</t>
  </si>
  <si>
    <t>4.42</t>
  </si>
  <si>
    <t>4.43</t>
  </si>
  <si>
    <t xml:space="preserve">Предоставление субсидий образовательным организациям на выплату ежемесячной компенсационной денежной выплаты на питание детей- инвалидов, получающих образование на дому </t>
  </si>
  <si>
    <t>Предоставление субсидий образовательным организациям по организации и обеспечению бесплатным горячим питанием обучающихся с ограниченными возможностями здоровья в муниципальных общеобразовательных организациях (за исключением мероприятия предусмотренного пунктом 2.15(1))***</t>
  </si>
  <si>
    <t>5. Финансовое обеспечение деятельности муниципальных казенных учреждений и органов управления</t>
  </si>
  <si>
    <t>5.1</t>
  </si>
  <si>
    <t>Расходы на обеспечение деятельности (оказание услуг) муниципальных учреждений</t>
  </si>
  <si>
    <t>Финансовое обеспечение деятельности муниципальных учреждений</t>
  </si>
  <si>
    <t>Администрация муниципального образования Северский район, управление образования, казенные учреждения</t>
  </si>
  <si>
    <t>приобретение ГСМ для осуществления поездок, не включенных в расчет нормативных затрат на оказание муниципальных услуг(выполнение работ)</t>
  </si>
  <si>
    <t xml:space="preserve">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рамках реализации мероприятий регионального проекта Краснодарского края «Современная школа» (обновление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за исключением мероприятия, предусмотренного подпунктом 1.3.3 пункта 1.3)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</si>
  <si>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расположенных в сельской местности и малых городах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</si>
  <si>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и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 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</si>
  <si>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(обновление материально-технической базы для формирования у обучающихся современных технологических и гуманитарных навыков, за исключением мероприятия, предусмотренного подпунктом 1.3.3 пункта 1.3)**, в том числе, разработка проектно-сметной документации, экспертиза достоверности определения сметной стоимости и др.</t>
  </si>
  <si>
    <t>Год реализации</t>
  </si>
  <si>
    <t>Оплату услуг по доставке пищи и пишеприготовлению, в том числе: оплата кредиторской задолженности</t>
  </si>
  <si>
    <t xml:space="preserve">Начальник управления образования  </t>
  </si>
  <si>
    <t>Л.В. Мазько</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</si>
  <si>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организация питания и др., в том числе: оплата кредиторской задолженности
</t>
  </si>
  <si>
    <t>Обеспечение государственных гарантий реализации прав на получение дополнительного образования детей</t>
  </si>
  <si>
    <t xml:space="preserve">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  в том числе: оплата кредиторской задолженности
</t>
  </si>
  <si>
    <t xml:space="preserve">Организация бесплатного горячего питания обучающихся 1-4 классах,       в том числе: оплата кредиторской задолженности
</t>
  </si>
  <si>
    <t>Выплата ежемесячной компенсационной денежной выплаты на питание обучающихся детей- инвалидов, получающих образование на дому</t>
  </si>
  <si>
    <t>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</si>
  <si>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</si>
  <si>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Источник финансирования, тыс.руб.</t>
  </si>
  <si>
    <t>Предоставление субсидий образовательным организациям на оплату услуг по доставке пищи и пищеприготовлению обучающихся по образовательной программе начального общего образования и детей-инвалидов (инвалидов) не являющихся обучающимися с ограниченными возможностями здоровья, детей из семей призванных на военную службу, в муниципальных образовательных организациях</t>
  </si>
  <si>
    <t>на иные цели:                                                                                        - осуществление иных выплат (доплат)</t>
  </si>
  <si>
    <t xml:space="preserve">
-подвоз учащихся, в т.ч. ГСМ;</t>
  </si>
  <si>
    <t xml:space="preserve">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</si>
  <si>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на иные цели:
-осуществление иных выплат (доплат)</t>
  </si>
  <si>
    <t>2) на иные цели: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</si>
  <si>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Предоставление субсидий образовательным организациям на выплату заработной платы и начислений выплаты по оплате труда в образовательных организациях во время проведения капитальных ремонтов, во время реорганизации (ликвидации) и других мероприятий (за исключение текущих ремонтов), возмещение данных понесенных расходов, прочие расходы</t>
  </si>
  <si>
    <t>4.19</t>
  </si>
  <si>
    <t>4.22</t>
  </si>
  <si>
    <t>4.26</t>
  </si>
  <si>
    <t>4.36</t>
  </si>
  <si>
    <t>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t>
  </si>
  <si>
    <t>Предоставление субсидий образовательным организациям на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"Патриотическое воспитание граждан Российской Федерации"</t>
  </si>
  <si>
    <t>Приобретение товаров(работ,услуг) в целях оснащения муниципальных образовательных организаций</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</si>
  <si>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1.20, 1.26)****</t>
  </si>
  <si>
    <t>*** Подпункт 2.15.1 пункта 2.15  государственной программы Краснодарского края «Развитие образования». Предоставление субсидии бюджетам муниципальных районов (городских округов) Краснодарского края на софинансирование расходных обязательств органов местного самоуправления муниципальных образований Краснодарского края по организации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</si>
  <si>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4.44</t>
  </si>
  <si>
    <t xml:space="preserve">3) на иные цели: приобретение автобусов(микроавтобусов), оплата расходов по их регистрации, расходы по активации карт тахографов и ГЛОНАСС, расходы на лицензирование, страховку, техосмотр и др. </t>
  </si>
  <si>
    <t>4) на иные цели:проведение медицинских осмотров лиц, занимающихся физической культурой и спортом.</t>
  </si>
  <si>
    <t>4.45</t>
  </si>
  <si>
    <t>4.46</t>
  </si>
  <si>
    <t>4.47</t>
  </si>
  <si>
    <t>4.48</t>
  </si>
  <si>
    <t>4.49</t>
  </si>
  <si>
    <t>Предоставление субсидий образовательным организациям на приобретение имущества, не включенного в проектно-сметную документацию</t>
  </si>
  <si>
    <t>Приобретение имущества</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</si>
  <si>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"Патриотическое воспитание граждан Российской Федерации" (приобретение товаров (работ, услуг) в целях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в т.ч. предоставление субсидий образовательным организациям</t>
  </si>
  <si>
    <t>Федеральный бюджет</t>
  </si>
  <si>
    <t>№ п/п</t>
  </si>
  <si>
    <t>Наименование целевого показателя</t>
  </si>
  <si>
    <t>Единица измерения</t>
  </si>
  <si>
    <t>Значение показателей</t>
  </si>
  <si>
    <t>год</t>
  </si>
  <si>
    <t>Доля детей, охваченных дошкольным образованием, от общей численности детей</t>
  </si>
  <si>
    <t>проценты</t>
  </si>
  <si>
    <t>Введение дополнительных мест в системе дошкольного образования</t>
  </si>
  <si>
    <t>тыс.мест</t>
  </si>
  <si>
    <t>Отношение численности детей в возрасте 3-7 лет, которым предоставлена возможность получать услуги дошкольного образования, к численности детей в возрасте 3-7 лет, скорректированной на численность детей в возрасте 5-7 лет, обучающихся в школах</t>
  </si>
  <si>
    <t>Отношение среднемесячной заработной платы педагогических работников муниципальных дошкольных образовательных организаций к среднемесячной заработной плате организаций общего образования Краснодарского края</t>
  </si>
  <si>
    <t>5.</t>
  </si>
  <si>
    <t>Численность обучающихся по программам общего образования в общеобразовательных организациях района</t>
  </si>
  <si>
    <t>тыс. человек</t>
  </si>
  <si>
    <t>6.</t>
  </si>
  <si>
    <t>Численность обучающихся по программам общего образования в расчете на 1 учителя</t>
  </si>
  <si>
    <t>человек</t>
  </si>
  <si>
    <t>7.</t>
  </si>
  <si>
    <t>Удельный вес численности обучающихся в организациях общего образования, обучающихся по новым федеральным государственным образовательным стандартам</t>
  </si>
  <si>
    <t>8.</t>
  </si>
  <si>
    <t>Доля выпускников муниципальных общеобразовательных организаций, не сдавших единый государственный экзамен, в общей численности выпускников муниципальных общеобразовательных организаций</t>
  </si>
  <si>
    <t>9.</t>
  </si>
  <si>
    <t>Отношение среднемесячной заработной платы педагогических работников образовательных организаций общего образования к среднемесячной заработной плате в экономике Краснодарского края</t>
  </si>
  <si>
    <t>10.</t>
  </si>
  <si>
    <t>Количество персональных компьютеров в расчете на 100 учащихся общеобразовательных школ</t>
  </si>
  <si>
    <t>количество</t>
  </si>
  <si>
    <t>11.</t>
  </si>
  <si>
    <t>Доля общеобразовательных организаций, имеющих скорость доступа к сети «Интернет» не менее 2  Мб/с</t>
  </si>
  <si>
    <t>12.</t>
  </si>
  <si>
    <t>Доля обучающихся, которым предоставлены от 80 до 100 процентов основных видов условий обучения (в общей численности обучающихся по программам общего образования)</t>
  </si>
  <si>
    <t>13.</t>
  </si>
  <si>
    <t>Доля детей и молодежи в возрасте 5—18 лет, охваченных образовательными программами дополнительного образования</t>
  </si>
  <si>
    <t>Доля детей в возрасте от 5 до 18 лет,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 по отрасли «Образование»</t>
  </si>
  <si>
    <t>15.</t>
  </si>
  <si>
    <t>Количество созданных дистанционных мест обучения</t>
  </si>
  <si>
    <t>шт.</t>
  </si>
  <si>
    <t>16.</t>
  </si>
  <si>
    <t>Выполнение муниципальных заданий муниципальными организациями</t>
  </si>
  <si>
    <t>17.</t>
  </si>
  <si>
    <t>Доля образовательных организаций, получивших предписания управления по надзору и контролю в сфере образования</t>
  </si>
  <si>
    <t>18.</t>
  </si>
  <si>
    <t>Средний срок процедуры лицензирования образовательной деятельности</t>
  </si>
  <si>
    <t>дней</t>
  </si>
  <si>
    <t>19.</t>
  </si>
  <si>
    <t>Количество отремонтированных образовательных организаций</t>
  </si>
  <si>
    <t>единиц</t>
  </si>
  <si>
    <t>20.</t>
  </si>
  <si>
    <t>Количество капитально отремонтированных зданий образовательных организаций</t>
  </si>
  <si>
    <t>количество организаций</t>
  </si>
  <si>
    <t>21.</t>
  </si>
  <si>
    <t>Количество автобусов, приобретенных для подвоза учащихся к общеобразовательным организациям</t>
  </si>
  <si>
    <t>22.</t>
  </si>
  <si>
    <t>Отношение среднемесячной заработной платы педагогических работников организаций дополнительного образования детей к среднемесячной заработной плате учителей в Краснодарском крае</t>
  </si>
  <si>
    <t>процентов</t>
  </si>
  <si>
    <t>23.</t>
  </si>
  <si>
    <t>Количество организаций, расположенных в сельской местности, в которых отремонтированы спортивные залы</t>
  </si>
  <si>
    <t>24.</t>
  </si>
  <si>
    <t>Количество муниципальных образовательных организаций, осуществляющих приобретение движимого имущества</t>
  </si>
  <si>
    <t>25.</t>
  </si>
  <si>
    <t>Обеспечение безопасности муниципальных образовательных организаций</t>
  </si>
  <si>
    <t>26.</t>
  </si>
  <si>
    <t>Количество капитально отремонтированных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физкультурно–оздоровительных комплексов</t>
  </si>
  <si>
    <t>27.</t>
  </si>
  <si>
    <t>Количество автобусов, осуществляющих подвоз учащихся, не менее</t>
  </si>
  <si>
    <t>28.</t>
  </si>
  <si>
    <t>Количество образовательных организаций, на территории которых произведено благоустройство, в том числе капитальный ремонт и устройство теневых навесов(приобретение)</t>
  </si>
  <si>
    <t>29.</t>
  </si>
  <si>
    <t>Количество образовательных организаций, которым выделяются средства на изготовление ПСД, а также на иные расходы, связанные с изготовлением ПСД для проведения капитальных ремонтов</t>
  </si>
  <si>
    <t>30.</t>
  </si>
  <si>
    <t>Количество организаций, осуществляющих подготовку к осенне-зимнему периоду</t>
  </si>
  <si>
    <t>Начальник управления образования</t>
  </si>
  <si>
    <t xml:space="preserve">Приложение №1 
к муниципальной программе
 «Развитие образования» на 2018-2025 годы» 
</t>
  </si>
  <si>
    <t xml:space="preserve">Цели, задачи и целевые показатели муниципальной программы
 «Развитие образования» на 2018-2025 годы» 
</t>
  </si>
  <si>
    <t>Муниципальный заказчик  мероприрятия, получатель субсидий(субвенций), ответственный за выполнение мероприятий, исполнитель</t>
  </si>
  <si>
    <t>Подготовка к отопительному сезону</t>
  </si>
  <si>
    <t xml:space="preserve">Обеспечение питанием учащихся из многодетных семей из расчета по 10 рублей в день, в том числе: оплата кредиторской задолженности
</t>
  </si>
  <si>
    <t>4.50</t>
  </si>
  <si>
    <t>Ремонт и (или) оснащение помещений</t>
  </si>
  <si>
    <t>31.</t>
  </si>
  <si>
    <t>Количество оснащенных и (или) отремонтированных помещий образовательных организаций для создания "Центра детских инициатив"</t>
  </si>
  <si>
    <t>Предоставление субсидий образовательным организациям на ремонт и (или) оснащение помещений образовательных организаций, предназначенных для создания "Центра детских инициатив"</t>
  </si>
  <si>
    <t>муниципальный социальный заказ на оказание муниципальных услуг в социальной сфере</t>
  </si>
  <si>
    <t>4.51</t>
  </si>
  <si>
    <t>"Развитие образования" на 2018-2026 годы"</t>
  </si>
  <si>
    <t>Финансовое обеспечение затрат, связанных с оказанием
услуг</t>
  </si>
  <si>
    <t xml:space="preserve">Предоставление субсидий образовательным организациям  на грант в форме субсидии на:  оказание психолого-педагогической, методической и консультативной помощи гражданам, имеющим детей, в рамках реализации мероприятий регионального проекта "Современная школа"
</t>
  </si>
  <si>
    <t>5) Предоставление грантов в форме субсидий в части персонифицированного финансирования,                           социального заказа</t>
  </si>
  <si>
    <t>4.52</t>
  </si>
  <si>
    <t>4.53</t>
  </si>
  <si>
    <t xml:space="preserve">Предоставление субсидий образовательным организациям  на демонтажные работы, утилизацию здания (в том числе разработка ПСД и т.д.)
</t>
  </si>
  <si>
    <t xml:space="preserve">Предоставление субсидий образовательным организациям  на осуществление компенсационной денежной выплаты обучающимся детям-инвалидам не являющихся обучающимися с ограниченными возможностями здоровья, нуждающихся в лечебном и диетическом питании, получающим начальное, общее, основное общее и среднее общее образование, получающих образование в общеобразовательных организациях
</t>
  </si>
  <si>
    <t xml:space="preserve">Выплата ежемесячной денежной выплаты
</t>
  </si>
  <si>
    <t>4.54</t>
  </si>
  <si>
    <t>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</si>
  <si>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4.55</t>
  </si>
  <si>
    <t>4.56</t>
  </si>
  <si>
    <t>Предоставление субсидий образовательным организациям по организации и обеспечению бесплатным питанием обучающихся с ограниченными возможностями здоровья в муниципальных общеобразовательных организациях</t>
  </si>
  <si>
    <t>4.57</t>
  </si>
  <si>
    <t>4.58</t>
  </si>
  <si>
    <t>Предоставление субсидий образовательным организациям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приобретения товаров (работ, услуг) для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</si>
  <si>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4.59</t>
  </si>
  <si>
    <t>Предоставление субсидий образовательным организациям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проведения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</si>
  <si>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Предоставление субсидий образовательным организациям на обеспечение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</si>
  <si>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Предоставление субсидий образовательным организациям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целях обеспечения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</si>
  <si>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Устройство, строительство, реконструкция, обустройство объектов, благоустройство территорий, расположенных на территории образовательных организаций </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</si>
  <si>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</si>
  <si>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 муниципального образования Северский район                                                       в т.ч. предоставление субсидий</t>
  </si>
  <si>
    <t xml:space="preserve">Капитальный ремонт зданий </t>
  </si>
  <si>
    <t xml:space="preserve">**** Пункт 1.1, 1.3, 1.5, 1.20, 1.26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1.13, 1.20, 1.26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</si>
  <si>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</si>
  <si>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</si>
  <si>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обеспечение функционирования модели персонифицированного финансировния дополнительного образования детей</t>
  </si>
  <si>
    <t>Капитальный ремонт зданий, помещений, сооружений, благоустройство территорий, прилегающих к зданиям и сооружениям муниципальных образовательных организаций</t>
  </si>
  <si>
    <t>Предоставление субсидий образовательным организациям по организации и обеспечению бесплатным питанием обучающихся с ограниченными возможностями здоровья в муниципальных общеобразовательных организациях (за исключением мероприятия предусмотренного пунктом 2.15(1))***</t>
  </si>
  <si>
    <t>Предоставление субсидий образовательным организациям на обеспечение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 - инвалидов (инвалидов), не являющихся обучающимеся с ограниченными возможностями здоровья, получающих основное общее и среднее общее образование)</t>
  </si>
  <si>
    <t>Предоставление субсидий образовательным организациям на оплату услуг по доставке пищи и пищеприготовлению обучающихся в муниципальных образовательных организациях</t>
  </si>
  <si>
    <t>Бюджет Краснодарс- кого края</t>
  </si>
  <si>
    <t>3. Повышение социального и профессионального уровня работников образования, формирование современной системы непрерывного образования</t>
  </si>
  <si>
    <t>Цель: Обеспечение организационных, информационных и научно-методических условий для реализации муниципальной программы, включая руководство в сфере образования, систему оценки качества образования и общественную поддержку</t>
  </si>
  <si>
    <t>Задача: Организация предоставления общедоступного и бесплатного дошкольного, начального общего, основного общего, среднего общего, а также дополнительного образования на территории муниципального образования</t>
  </si>
  <si>
    <t>Цель: Формирование условий для повышения качества, доступности, устойчивого функционирования и развития системы образования Северского района</t>
  </si>
  <si>
    <t>Задача: Создание условий для введения новых федеральных государственных образовательных стандартов</t>
  </si>
  <si>
    <t>Цель: Создание в системе дошкольного, общего и дополнительного образования равных возможностей для современного качественного образования и позитивной социализации детей</t>
  </si>
  <si>
    <t>Задача: Модернизация образовательных программ в системах дошкольного, общего образования, дополнительного образования детей, направленная на достижение современного качества учебных результатов и результатов социализации обучающихся</t>
  </si>
  <si>
    <t>Цель: Обеспечение высокого качества образования в соответствии с запросами населения Северского района и перспективными задачами развития экономики Северского района, Краснодарского края и России</t>
  </si>
  <si>
    <t>Задача: Обеспечение системы образования Северского района высококвалифицированными кадрами, повышение их социального и профессионального уровня</t>
  </si>
  <si>
    <t xml:space="preserve">Обеспечение бесплатным двухразовым питанием детей-инвалидов (инвалидов),                в том числе: оплата кредиторской задолженности
</t>
  </si>
  <si>
    <t xml:space="preserve">Организация и обеспечение бесплатным горячим питанием обучающихся с ограниченными возможностями здоровья, в том числе: оплата кредиторской задолженности
 </t>
  </si>
  <si>
    <t>Задача: Совершенствование системы управления в сфере образования муниципального района</t>
  </si>
  <si>
    <t>Объем финансирова-ния, всего тыс.руб.</t>
  </si>
  <si>
    <t>В том числе, обеспече-ние условия предоставления субсидии</t>
  </si>
  <si>
    <t>Перечень основных мероприятий муниципальной программы " Развитие образования"                              на 2018-2026 годы"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</si>
</sst>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0"/>
  </numFmts>
  <fonts count="22" x14ac:knownFonts="1">
    <font>
      <sz val="11"/>
      <color theme="1"/>
      <name val="Calibri"/>
      <family val="2"/>
      <scheme val="minor"/>
    </font>
    <font>
      <sz val="11"/>
      <color theme="1"/>
      <name val="Calibri"/>
      <family val="2"/>
      <scheme val="minor"/>
    </font>
    <font>
      <sz val="13"/>
      <color theme="1"/>
      <name val="Calibri"/>
      <family val="2"/>
      <scheme val="minor"/>
    </font>
    <font>
      <b/>
      <sz val="13"/>
      <color theme="1"/>
      <name val="Times New Roman"/>
      <family val="1"/>
      <charset val="204"/>
    </font>
    <font>
      <sz val="13"/>
      <color theme="1"/>
      <name val="Times New Roman"/>
      <family val="1"/>
      <charset val="204"/>
    </font>
    <font>
      <sz val="14"/>
      <color theme="1"/>
      <name val="Times New Roman"/>
      <family val="1"/>
      <charset val="204"/>
    </font>
    <font>
      <sz val="16"/>
      <color theme="1"/>
      <name val="Times New Roman"/>
      <family val="1"/>
      <charset val="204"/>
    </font>
    <font>
      <sz val="16"/>
      <color theme="1"/>
      <name val="Calibri"/>
      <family val="2"/>
      <scheme val="minor"/>
    </font>
    <font>
      <sz val="24"/>
      <color theme="1"/>
      <name val="Times New Roman"/>
      <family val="1"/>
      <charset val="204"/>
    </font>
    <font>
      <b/>
      <sz val="14"/>
      <color theme="1"/>
      <name val="Times New Roman"/>
      <family val="1"/>
      <charset val="204"/>
    </font>
    <font>
      <b/>
      <sz val="22"/>
      <color theme="1"/>
      <name val="Times New Roman"/>
      <family val="1"/>
      <charset val="204"/>
    </font>
    <font>
      <sz val="12"/>
      <color theme="1"/>
      <name val="Times New Roman"/>
      <family val="1"/>
      <charset val="204"/>
    </font>
    <font>
      <sz val="14"/>
      <color theme="1"/>
      <name val="Calibri"/>
      <family val="2"/>
      <scheme val="minor"/>
    </font>
    <font>
      <sz val="14"/>
      <color rgb="FF404040"/>
      <name val="Times New Roman"/>
      <family val="1"/>
      <charset val="204"/>
    </font>
    <font>
      <sz val="14"/>
      <color rgb="FF000000"/>
      <name val="Times New Roman"/>
      <family val="1"/>
      <charset val="204"/>
    </font>
    <font>
      <sz val="15"/>
      <color theme="1"/>
      <name val="Times New Roman"/>
      <family val="1"/>
      <charset val="204"/>
    </font>
    <font>
      <b/>
      <sz val="15"/>
      <color theme="1"/>
      <name val="Times New Roman"/>
      <family val="1"/>
      <charset val="204"/>
    </font>
    <font>
      <sz val="15"/>
      <color rgb="FFFF0000"/>
      <name val="Times New Roman"/>
      <family val="1"/>
      <charset val="204"/>
    </font>
    <font>
      <b/>
      <sz val="15"/>
      <color rgb="FFFF0000"/>
      <name val="Times New Roman"/>
      <family val="1"/>
      <charset val="204"/>
    </font>
    <font>
      <sz val="15"/>
      <color theme="1"/>
      <name val="Calibri"/>
      <family val="2"/>
      <scheme val="minor"/>
    </font>
    <font>
      <sz val="15"/>
      <name val="Times New Roman"/>
      <family val="1"/>
      <charset val="204"/>
    </font>
    <font>
      <b/>
      <sz val="15"/>
      <name val="Times New Roman"/>
      <family val="1"/>
      <charset val="204"/>
    </font>
  </fonts>
  <fills count="2">
    <fill>
      <patternFill patternType="none"/>
    </fill>
    <fill>
      <patternFill patternType="gray125"/>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78">
    <xf numFmtId="0" fontId="0" fillId="0" borderId="0" xfId="0"/>
    <xf numFmtId="0" fontId="12" fillId="0" borderId="42" xfId="0" applyFont="1" applyBorder="1"/>
    <xf numFmtId="0" fontId="12" fillId="0" borderId="0" xfId="0" applyFont="1"/>
    <xf numFmtId="0" fontId="12" fillId="0" borderId="62" xfId="0" applyFont="1" applyBorder="1"/>
    <xf numFmtId="0" fontId="5" fillId="0" borderId="0" xfId="0" applyFont="1"/>
    <xf numFmtId="0" fontId="12" fillId="0" borderId="1" xfId="0" applyFont="1" applyBorder="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9" fillId="0" borderId="0" xfId="0" applyFont="1" applyAlignment="1">
      <alignment wrapText="1"/>
    </xf>
    <xf numFmtId="0" fontId="9" fillId="0" borderId="61" xfId="0" applyFont="1" applyBorder="1" applyAlignment="1">
      <alignment wrapText="1"/>
    </xf>
    <xf numFmtId="0" fontId="11" fillId="0" borderId="0" xfId="0" applyFont="1" applyAlignment="1">
      <alignment vertical="top" wrapText="1"/>
    </xf>
    <xf numFmtId="0" fontId="11" fillId="0" borderId="61" xfId="0" applyFont="1" applyBorder="1" applyAlignment="1">
      <alignment vertical="top" wrapText="1"/>
    </xf>
    <xf numFmtId="49" fontId="21" fillId="0" borderId="23" xfId="1" applyNumberFormat="1" applyFont="1" applyFill="1" applyBorder="1" applyAlignment="1">
      <alignment vertical="center"/>
    </xf>
    <xf numFmtId="49" fontId="15" fillId="0" borderId="57" xfId="1" applyNumberFormat="1" applyFont="1" applyFill="1" applyBorder="1" applyAlignment="1">
      <alignment horizontal="center" vertical="center"/>
    </xf>
    <xf numFmtId="49" fontId="15" fillId="0" borderId="52" xfId="1" applyNumberFormat="1" applyFont="1" applyFill="1" applyBorder="1" applyAlignment="1">
      <alignment horizontal="center" vertical="center"/>
    </xf>
    <xf numFmtId="49" fontId="15" fillId="0" borderId="58" xfId="1" applyNumberFormat="1" applyFont="1" applyFill="1" applyBorder="1" applyAlignment="1">
      <alignment horizontal="center" vertical="center"/>
    </xf>
    <xf numFmtId="49" fontId="20" fillId="0" borderId="57" xfId="1" applyNumberFormat="1" applyFont="1" applyFill="1" applyBorder="1" applyAlignment="1">
      <alignment horizontal="center" vertical="center"/>
    </xf>
    <xf numFmtId="49" fontId="20" fillId="0" borderId="52" xfId="1" applyNumberFormat="1" applyFont="1" applyFill="1" applyBorder="1" applyAlignment="1">
      <alignment horizontal="center" vertical="center"/>
    </xf>
    <xf numFmtId="49" fontId="20" fillId="0" borderId="58" xfId="1" applyNumberFormat="1" applyFont="1" applyFill="1" applyBorder="1" applyAlignment="1">
      <alignment horizontal="center" vertical="center"/>
    </xf>
    <xf numFmtId="49" fontId="21" fillId="0" borderId="52" xfId="1" applyNumberFormat="1" applyFont="1" applyFill="1" applyBorder="1" applyAlignment="1">
      <alignment horizontal="center" vertical="center"/>
    </xf>
    <xf numFmtId="49" fontId="21" fillId="0" borderId="58" xfId="1" applyNumberFormat="1" applyFont="1" applyFill="1" applyBorder="1" applyAlignment="1">
      <alignment horizontal="center" vertical="center"/>
    </xf>
    <xf numFmtId="49" fontId="20" fillId="0" borderId="39" xfId="1" applyNumberFormat="1" applyFont="1" applyFill="1" applyBorder="1" applyAlignment="1">
      <alignment horizontal="center" vertical="center"/>
    </xf>
    <xf numFmtId="49" fontId="20" fillId="0" borderId="41" xfId="1" applyNumberFormat="1" applyFont="1" applyFill="1" applyBorder="1" applyAlignment="1">
      <alignment horizontal="center" vertical="center"/>
    </xf>
    <xf numFmtId="49" fontId="20" fillId="0" borderId="40" xfId="1" applyNumberFormat="1" applyFont="1" applyFill="1" applyBorder="1" applyAlignment="1">
      <alignment horizontal="center" vertical="center"/>
    </xf>
    <xf numFmtId="49" fontId="15" fillId="0" borderId="39" xfId="1" applyNumberFormat="1" applyFont="1" applyFill="1" applyBorder="1" applyAlignment="1">
      <alignment horizontal="center" vertical="center"/>
    </xf>
    <xf numFmtId="49" fontId="15" fillId="0" borderId="41" xfId="1" applyNumberFormat="1" applyFont="1" applyFill="1" applyBorder="1" applyAlignment="1">
      <alignment horizontal="center" vertical="center"/>
    </xf>
    <xf numFmtId="49" fontId="15" fillId="0" borderId="40" xfId="1" applyNumberFormat="1" applyFont="1" applyFill="1" applyBorder="1" applyAlignment="1">
      <alignment horizontal="center" vertical="center"/>
    </xf>
    <xf numFmtId="49" fontId="15" fillId="0" borderId="43" xfId="1" applyNumberFormat="1" applyFont="1" applyFill="1" applyBorder="1" applyAlignment="1">
      <alignment horizontal="center" vertical="center"/>
    </xf>
    <xf numFmtId="49" fontId="15" fillId="0" borderId="71" xfId="1" applyNumberFormat="1" applyFont="1" applyFill="1" applyBorder="1" applyAlignment="1">
      <alignment horizontal="center" vertical="center"/>
    </xf>
    <xf numFmtId="49" fontId="15" fillId="0" borderId="4" xfId="1" applyNumberFormat="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15" fillId="0" borderId="9" xfId="1" applyNumberFormat="1" applyFont="1" applyFill="1" applyBorder="1" applyAlignment="1">
      <alignment horizontal="center" vertical="center"/>
    </xf>
    <xf numFmtId="49" fontId="15" fillId="0" borderId="48" xfId="1" applyNumberFormat="1" applyFont="1" applyFill="1" applyBorder="1" applyAlignment="1">
      <alignment horizontal="center" vertical="center"/>
    </xf>
    <xf numFmtId="49" fontId="15" fillId="0" borderId="15" xfId="1" applyNumberFormat="1" applyFont="1" applyFill="1" applyBorder="1" applyAlignment="1">
      <alignment horizontal="center" vertical="center"/>
    </xf>
    <xf numFmtId="49" fontId="15" fillId="0" borderId="17" xfId="1" applyNumberFormat="1" applyFont="1" applyFill="1" applyBorder="1" applyAlignment="1">
      <alignment horizontal="center" vertical="center"/>
    </xf>
    <xf numFmtId="49" fontId="15" fillId="0" borderId="19" xfId="1" applyNumberFormat="1" applyFont="1" applyFill="1" applyBorder="1" applyAlignment="1">
      <alignment horizontal="center" vertical="center"/>
    </xf>
    <xf numFmtId="0" fontId="11" fillId="0" borderId="0" xfId="0" applyFont="1" applyAlignment="1">
      <alignment horizontal="right" wrapText="1"/>
    </xf>
    <xf numFmtId="0" fontId="9" fillId="0" borderId="0" xfId="0" applyFont="1" applyAlignment="1">
      <alignment horizontal="center" wrapText="1"/>
    </xf>
    <xf numFmtId="0" fontId="5" fillId="0" borderId="59"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2" fillId="0" borderId="67" xfId="0" applyFont="1" applyFill="1" applyBorder="1"/>
    <xf numFmtId="0" fontId="12" fillId="0" borderId="21" xfId="0" applyFont="1" applyFill="1" applyBorder="1"/>
    <xf numFmtId="0" fontId="2" fillId="0" borderId="21" xfId="0" applyFont="1" applyFill="1" applyBorder="1"/>
    <xf numFmtId="0" fontId="10" fillId="0" borderId="21" xfId="0" applyFont="1" applyFill="1" applyBorder="1" applyAlignment="1">
      <alignment horizontal="center" vertical="center" wrapText="1"/>
    </xf>
    <xf numFmtId="0" fontId="7" fillId="0" borderId="21" xfId="0" applyFont="1" applyFill="1" applyBorder="1"/>
    <xf numFmtId="0" fontId="6" fillId="0" borderId="68" xfId="0" applyFont="1" applyFill="1" applyBorder="1" applyAlignment="1">
      <alignment horizontal="right" vertical="top"/>
    </xf>
    <xf numFmtId="0" fontId="0" fillId="0" borderId="0" xfId="0" applyFill="1"/>
    <xf numFmtId="0" fontId="2" fillId="0" borderId="53" xfId="0" applyFont="1" applyFill="1" applyBorder="1"/>
    <xf numFmtId="0" fontId="12" fillId="0" borderId="0" xfId="0" applyFont="1" applyFill="1"/>
    <xf numFmtId="0" fontId="2" fillId="0" borderId="0" xfId="0" applyFont="1" applyFill="1"/>
    <xf numFmtId="0" fontId="10" fillId="0" borderId="0" xfId="0" applyFont="1" applyFill="1" applyAlignment="1">
      <alignment horizontal="center" vertical="center" wrapText="1"/>
    </xf>
    <xf numFmtId="0" fontId="7" fillId="0" borderId="0" xfId="0" applyFont="1" applyFill="1"/>
    <xf numFmtId="0" fontId="6" fillId="0" borderId="64" xfId="0" applyFont="1" applyFill="1" applyBorder="1" applyAlignment="1">
      <alignment horizontal="right" vertical="top"/>
    </xf>
    <xf numFmtId="0" fontId="10" fillId="0" borderId="22"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57"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5" fillId="0" borderId="56" xfId="0" applyFont="1" applyFill="1" applyBorder="1" applyAlignment="1">
      <alignment horizontal="center" vertical="center" wrapText="1"/>
    </xf>
    <xf numFmtId="0" fontId="15" fillId="0" borderId="73"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59"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74" xfId="0" applyFont="1" applyFill="1" applyBorder="1" applyAlignment="1">
      <alignment horizontal="center" vertical="center" wrapText="1"/>
    </xf>
    <xf numFmtId="0" fontId="15" fillId="0" borderId="1" xfId="0" applyFont="1" applyFill="1" applyBorder="1" applyAlignment="1">
      <alignment horizontal="center"/>
    </xf>
    <xf numFmtId="0" fontId="16" fillId="0" borderId="48" xfId="0" applyFont="1" applyFill="1" applyBorder="1" applyAlignment="1">
      <alignment horizontal="center" vertical="center"/>
    </xf>
    <xf numFmtId="0" fontId="15" fillId="0" borderId="60" xfId="0" applyFont="1" applyFill="1" applyBorder="1" applyAlignment="1">
      <alignment horizontal="left"/>
    </xf>
    <xf numFmtId="0" fontId="15" fillId="0" borderId="61" xfId="0" applyFont="1" applyFill="1" applyBorder="1" applyAlignment="1">
      <alignment horizontal="left"/>
    </xf>
    <xf numFmtId="0" fontId="15" fillId="0" borderId="75" xfId="0" applyFont="1" applyFill="1" applyBorder="1" applyAlignment="1">
      <alignment horizontal="left"/>
    </xf>
    <xf numFmtId="0" fontId="16" fillId="0" borderId="12" xfId="0" applyFont="1" applyFill="1" applyBorder="1" applyAlignment="1">
      <alignment horizontal="center" vertical="center"/>
    </xf>
    <xf numFmtId="0" fontId="15" fillId="0" borderId="33" xfId="0" applyFont="1" applyFill="1" applyBorder="1" applyAlignment="1">
      <alignment horizontal="left"/>
    </xf>
    <xf numFmtId="0" fontId="15" fillId="0" borderId="29" xfId="0" applyFont="1" applyFill="1" applyBorder="1" applyAlignment="1">
      <alignment horizontal="left"/>
    </xf>
    <xf numFmtId="0" fontId="15" fillId="0" borderId="30" xfId="0" applyFont="1" applyFill="1" applyBorder="1" applyAlignment="1">
      <alignment horizontal="left"/>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7"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8" xfId="0" applyFont="1" applyFill="1" applyBorder="1" applyAlignment="1">
      <alignment horizontal="center" vertical="center"/>
    </xf>
    <xf numFmtId="164" fontId="15" fillId="0" borderId="8" xfId="0" applyNumberFormat="1" applyFont="1" applyFill="1" applyBorder="1" applyAlignment="1">
      <alignment horizontal="center" vertical="center"/>
    </xf>
    <xf numFmtId="0" fontId="15" fillId="0" borderId="8" xfId="0" applyFont="1" applyFill="1" applyBorder="1" applyAlignment="1">
      <alignment horizontal="center" vertical="top" wrapText="1"/>
    </xf>
    <xf numFmtId="0" fontId="15" fillId="0" borderId="16"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164"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top" wrapText="1"/>
    </xf>
    <xf numFmtId="0" fontId="15" fillId="0" borderId="18" xfId="0" applyFont="1" applyFill="1" applyBorder="1" applyAlignment="1">
      <alignment horizontal="center" vertical="top" wrapText="1"/>
    </xf>
    <xf numFmtId="0" fontId="15" fillId="0" borderId="1" xfId="0" applyFont="1" applyFill="1" applyBorder="1" applyAlignment="1">
      <alignment horizontal="center" vertical="top" wrapText="1"/>
    </xf>
    <xf numFmtId="164" fontId="15" fillId="0" borderId="1" xfId="0" applyNumberFormat="1"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7" fillId="0" borderId="14" xfId="0" applyFont="1" applyFill="1" applyBorder="1" applyAlignment="1">
      <alignment horizontal="center" vertical="center"/>
    </xf>
    <xf numFmtId="164" fontId="15" fillId="0" borderId="14" xfId="0" applyNumberFormat="1" applyFont="1" applyFill="1" applyBorder="1" applyAlignment="1">
      <alignment horizontal="center" vertical="center"/>
    </xf>
    <xf numFmtId="0" fontId="15" fillId="0" borderId="14" xfId="0" applyFont="1" applyFill="1" applyBorder="1" applyAlignment="1">
      <alignment horizontal="center" vertical="top" wrapText="1"/>
    </xf>
    <xf numFmtId="0" fontId="15" fillId="0" borderId="20" xfId="0" applyFont="1" applyFill="1" applyBorder="1" applyAlignment="1">
      <alignment horizontal="center" vertical="top"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center" vertical="center"/>
    </xf>
    <xf numFmtId="164" fontId="15" fillId="0" borderId="4" xfId="0" applyNumberFormat="1" applyFont="1" applyFill="1" applyBorder="1" applyAlignment="1">
      <alignment horizontal="center" vertical="center"/>
    </xf>
    <xf numFmtId="0" fontId="15" fillId="0" borderId="4" xfId="0" applyFont="1" applyFill="1" applyBorder="1" applyAlignment="1">
      <alignment horizontal="center" vertical="top" wrapText="1"/>
    </xf>
    <xf numFmtId="0" fontId="15" fillId="0" borderId="24" xfId="0" applyFont="1" applyFill="1" applyBorder="1" applyAlignment="1">
      <alignment horizontal="center" vertical="top" wrapText="1"/>
    </xf>
    <xf numFmtId="164" fontId="15" fillId="0" borderId="1" xfId="0" applyNumberFormat="1" applyFont="1" applyFill="1" applyBorder="1" applyAlignment="1">
      <alignment horizontal="center" vertical="top" wrapText="1"/>
    </xf>
    <xf numFmtId="164" fontId="18" fillId="0" borderId="1" xfId="0" applyNumberFormat="1" applyFont="1" applyFill="1" applyBorder="1" applyAlignment="1">
      <alignment horizontal="center" vertical="center"/>
    </xf>
    <xf numFmtId="0" fontId="17" fillId="0" borderId="14" xfId="0" applyFont="1" applyFill="1" applyBorder="1" applyAlignment="1">
      <alignment horizontal="center" vertical="top" wrapText="1"/>
    </xf>
    <xf numFmtId="164" fontId="15" fillId="0" borderId="14" xfId="0" applyNumberFormat="1" applyFont="1" applyFill="1" applyBorder="1" applyAlignment="1">
      <alignment horizontal="center" vertical="top" wrapText="1"/>
    </xf>
    <xf numFmtId="164" fontId="18" fillId="0" borderId="14" xfId="0" applyNumberFormat="1" applyFont="1" applyFill="1" applyBorder="1" applyAlignment="1">
      <alignment horizontal="center" vertical="center"/>
    </xf>
    <xf numFmtId="0" fontId="16" fillId="0" borderId="47" xfId="0" applyFont="1" applyFill="1" applyBorder="1" applyAlignment="1">
      <alignment horizontal="center" vertical="center"/>
    </xf>
    <xf numFmtId="0" fontId="15" fillId="0" borderId="44" xfId="0" applyFont="1" applyFill="1" applyBorder="1" applyAlignment="1">
      <alignment horizontal="left" wrapText="1"/>
    </xf>
    <xf numFmtId="0" fontId="15" fillId="0" borderId="72" xfId="0" applyFont="1" applyFill="1" applyBorder="1" applyAlignment="1">
      <alignment horizontal="left" wrapText="1"/>
    </xf>
    <xf numFmtId="0" fontId="15" fillId="0" borderId="28" xfId="0" applyFont="1" applyFill="1" applyBorder="1" applyAlignment="1">
      <alignment horizontal="left" wrapText="1"/>
    </xf>
    <xf numFmtId="0" fontId="15" fillId="0" borderId="33" xfId="0" applyFont="1" applyFill="1" applyBorder="1" applyAlignment="1">
      <alignment horizontal="left" wrapText="1"/>
    </xf>
    <xf numFmtId="0" fontId="15" fillId="0" borderId="29" xfId="0" applyFont="1" applyFill="1" applyBorder="1" applyAlignment="1">
      <alignment horizontal="left" wrapText="1"/>
    </xf>
    <xf numFmtId="0" fontId="15" fillId="0" borderId="30" xfId="0" applyFont="1" applyFill="1" applyBorder="1" applyAlignment="1">
      <alignment horizontal="left" wrapText="1"/>
    </xf>
    <xf numFmtId="0" fontId="15" fillId="0" borderId="8" xfId="0" applyFont="1" applyFill="1" applyBorder="1" applyAlignment="1">
      <alignment horizontal="left" vertical="center" wrapText="1"/>
    </xf>
    <xf numFmtId="0" fontId="0" fillId="0" borderId="21" xfId="0" applyFill="1" applyBorder="1"/>
    <xf numFmtId="0" fontId="15" fillId="0" borderId="1" xfId="0" applyFont="1" applyFill="1" applyBorder="1" applyAlignment="1">
      <alignment horizontal="left" vertical="center" wrapText="1"/>
    </xf>
    <xf numFmtId="49" fontId="4" fillId="0" borderId="0" xfId="0" applyNumberFormat="1" applyFont="1" applyFill="1" applyAlignment="1">
      <alignment horizontal="center" vertical="center"/>
    </xf>
    <xf numFmtId="0" fontId="19" fillId="0" borderId="1" xfId="0" applyFont="1" applyFill="1" applyBorder="1" applyAlignment="1">
      <alignment horizontal="left" vertical="center" wrapText="1"/>
    </xf>
    <xf numFmtId="0" fontId="0" fillId="0" borderId="22" xfId="0" applyFill="1" applyBorder="1"/>
    <xf numFmtId="0" fontId="15"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7" fillId="0" borderId="2" xfId="0" applyFont="1" applyFill="1" applyBorder="1" applyAlignment="1">
      <alignment horizontal="center" vertical="top" wrapText="1"/>
    </xf>
    <xf numFmtId="164" fontId="15" fillId="0" borderId="2" xfId="0" applyNumberFormat="1" applyFont="1" applyFill="1" applyBorder="1" applyAlignment="1">
      <alignment horizontal="center" vertical="center"/>
    </xf>
    <xf numFmtId="164" fontId="15" fillId="0" borderId="2" xfId="0" applyNumberFormat="1" applyFont="1" applyFill="1" applyBorder="1" applyAlignment="1">
      <alignment horizontal="center" vertical="top" wrapText="1"/>
    </xf>
    <xf numFmtId="164" fontId="18" fillId="0" borderId="2" xfId="0" applyNumberFormat="1" applyFont="1" applyFill="1" applyBorder="1" applyAlignment="1">
      <alignment horizontal="center" vertical="center"/>
    </xf>
    <xf numFmtId="0" fontId="15" fillId="0" borderId="2" xfId="0" applyFont="1" applyFill="1" applyBorder="1" applyAlignment="1">
      <alignment horizontal="center" vertical="top" wrapText="1"/>
    </xf>
    <xf numFmtId="0" fontId="15" fillId="0" borderId="10" xfId="0" applyFont="1" applyFill="1" applyBorder="1" applyAlignment="1">
      <alignment horizontal="center" vertical="top" wrapText="1"/>
    </xf>
    <xf numFmtId="0" fontId="19" fillId="0" borderId="14" xfId="0" applyFont="1" applyFill="1" applyBorder="1" applyAlignment="1">
      <alignment horizontal="left" vertical="center" wrapText="1"/>
    </xf>
    <xf numFmtId="0" fontId="15" fillId="0" borderId="12" xfId="0" applyFont="1" applyFill="1" applyBorder="1"/>
    <xf numFmtId="0" fontId="16" fillId="0" borderId="13" xfId="0" applyFont="1" applyFill="1" applyBorder="1" applyAlignment="1">
      <alignment horizontal="right"/>
    </xf>
    <xf numFmtId="0" fontId="16" fillId="0" borderId="55" xfId="0" applyFont="1" applyFill="1" applyBorder="1" applyAlignment="1">
      <alignment horizontal="right"/>
    </xf>
    <xf numFmtId="0" fontId="16" fillId="0" borderId="25" xfId="0" applyFont="1" applyFill="1" applyBorder="1" applyAlignment="1">
      <alignment vertical="center"/>
    </xf>
    <xf numFmtId="164" fontId="16" fillId="0" borderId="26" xfId="0" applyNumberFormat="1" applyFont="1" applyFill="1" applyBorder="1" applyAlignment="1">
      <alignment horizontal="center" vertical="center"/>
    </xf>
    <xf numFmtId="164" fontId="16" fillId="0" borderId="27" xfId="0" applyNumberFormat="1" applyFont="1" applyFill="1" applyBorder="1" applyAlignment="1">
      <alignment horizontal="center" vertical="center"/>
    </xf>
    <xf numFmtId="0" fontId="15" fillId="0" borderId="66" xfId="0" applyFont="1" applyFill="1" applyBorder="1" applyAlignment="1">
      <alignment horizontal="center"/>
    </xf>
    <xf numFmtId="0" fontId="15" fillId="0" borderId="49" xfId="0" applyFont="1" applyFill="1" applyBorder="1" applyAlignment="1">
      <alignment horizontal="center"/>
    </xf>
    <xf numFmtId="0" fontId="0" fillId="0" borderId="61" xfId="0" applyFill="1" applyBorder="1"/>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5" fillId="0" borderId="69" xfId="0" applyFont="1" applyFill="1" applyBorder="1" applyAlignment="1">
      <alignment horizontal="center" vertical="center" wrapText="1"/>
    </xf>
    <xf numFmtId="0" fontId="15" fillId="0" borderId="7" xfId="0" applyFont="1" applyFill="1" applyBorder="1" applyAlignment="1">
      <alignment horizontal="center" vertical="top" wrapText="1"/>
    </xf>
    <xf numFmtId="0" fontId="15" fillId="0" borderId="54" xfId="0" applyFont="1" applyFill="1" applyBorder="1" applyAlignment="1">
      <alignment horizontal="center" vertical="top" wrapText="1"/>
    </xf>
    <xf numFmtId="0" fontId="15" fillId="0" borderId="63" xfId="0" applyFont="1" applyFill="1" applyBorder="1" applyAlignment="1">
      <alignment horizontal="center" vertical="center" wrapText="1"/>
    </xf>
    <xf numFmtId="0" fontId="15" fillId="0" borderId="3" xfId="0" applyFont="1" applyFill="1" applyBorder="1" applyAlignment="1">
      <alignment horizontal="center" vertical="top" wrapText="1"/>
    </xf>
    <xf numFmtId="0" fontId="15" fillId="0" borderId="50" xfId="0" applyFont="1" applyFill="1" applyBorder="1" applyAlignment="1">
      <alignment horizontal="center" vertical="top" wrapText="1"/>
    </xf>
    <xf numFmtId="0" fontId="15" fillId="0" borderId="66" xfId="0" applyFont="1" applyFill="1" applyBorder="1" applyAlignment="1">
      <alignment horizontal="center" vertical="center" wrapText="1"/>
    </xf>
    <xf numFmtId="0" fontId="15" fillId="0" borderId="13" xfId="0" applyFont="1" applyFill="1" applyBorder="1" applyAlignment="1">
      <alignment horizontal="center" vertical="top" wrapText="1"/>
    </xf>
    <xf numFmtId="0" fontId="15" fillId="0" borderId="49" xfId="0" applyFont="1" applyFill="1" applyBorder="1" applyAlignment="1">
      <alignment horizontal="center" vertical="top" wrapText="1"/>
    </xf>
    <xf numFmtId="0" fontId="15" fillId="0" borderId="48" xfId="0" applyFont="1" applyFill="1" applyBorder="1"/>
    <xf numFmtId="0" fontId="16" fillId="0" borderId="3" xfId="0" applyFont="1" applyFill="1" applyBorder="1" applyAlignment="1">
      <alignment horizontal="right"/>
    </xf>
    <xf numFmtId="0" fontId="16" fillId="0" borderId="62" xfId="0" applyFont="1" applyFill="1" applyBorder="1" applyAlignment="1">
      <alignment horizontal="right"/>
    </xf>
    <xf numFmtId="0" fontId="16" fillId="0" borderId="47" xfId="0" applyFont="1" applyFill="1" applyBorder="1" applyAlignment="1">
      <alignment vertical="center"/>
    </xf>
    <xf numFmtId="164" fontId="16" fillId="0" borderId="7" xfId="0" applyNumberFormat="1" applyFont="1" applyFill="1" applyBorder="1" applyAlignment="1">
      <alignment horizontal="center" vertical="center"/>
    </xf>
    <xf numFmtId="164" fontId="16" fillId="0" borderId="54" xfId="0" applyNumberFormat="1" applyFont="1" applyFill="1" applyBorder="1" applyAlignment="1">
      <alignment horizontal="center" vertical="center"/>
    </xf>
    <xf numFmtId="0" fontId="15" fillId="0" borderId="63" xfId="0" applyFont="1" applyFill="1" applyBorder="1"/>
    <xf numFmtId="0" fontId="15" fillId="0" borderId="50" xfId="0" applyFont="1" applyFill="1" applyBorder="1"/>
    <xf numFmtId="0" fontId="0" fillId="0" borderId="32" xfId="0" applyFill="1" applyBorder="1"/>
    <xf numFmtId="0" fontId="15" fillId="0" borderId="3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15" fillId="0" borderId="19" xfId="0" applyFont="1" applyFill="1" applyBorder="1" applyAlignment="1">
      <alignment horizontal="center" vertical="center" wrapText="1"/>
    </xf>
    <xf numFmtId="0" fontId="19" fillId="0" borderId="26" xfId="0" applyFont="1" applyFill="1" applyBorder="1" applyAlignment="1">
      <alignment horizontal="left" vertical="center" wrapText="1"/>
    </xf>
    <xf numFmtId="0" fontId="17" fillId="0" borderId="13" xfId="0" applyFont="1" applyFill="1" applyBorder="1" applyAlignment="1">
      <alignment horizontal="center" vertical="top" wrapText="1"/>
    </xf>
    <xf numFmtId="164" fontId="15" fillId="0" borderId="13" xfId="0" applyNumberFormat="1" applyFont="1" applyFill="1" applyBorder="1" applyAlignment="1">
      <alignment horizontal="center" vertical="center"/>
    </xf>
    <xf numFmtId="164" fontId="15" fillId="0" borderId="13" xfId="0" applyNumberFormat="1" applyFont="1" applyFill="1" applyBorder="1" applyAlignment="1">
      <alignment horizontal="center" vertical="top" wrapText="1"/>
    </xf>
    <xf numFmtId="0" fontId="15" fillId="0" borderId="4" xfId="0" applyFont="1" applyFill="1" applyBorder="1" applyAlignment="1">
      <alignment horizontal="left" vertical="center" wrapText="1"/>
    </xf>
    <xf numFmtId="0" fontId="16" fillId="0" borderId="8" xfId="0" applyFont="1" applyFill="1" applyBorder="1" applyAlignment="1">
      <alignment horizontal="center" vertical="top" wrapText="1"/>
    </xf>
    <xf numFmtId="0" fontId="16" fillId="0" borderId="16"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18" xfId="0" applyFont="1" applyFill="1" applyBorder="1" applyAlignment="1">
      <alignment horizontal="center" vertical="top" wrapText="1"/>
    </xf>
    <xf numFmtId="0" fontId="20" fillId="0" borderId="1" xfId="0" applyFont="1" applyFill="1" applyBorder="1" applyAlignment="1">
      <alignment horizontal="center" vertical="center"/>
    </xf>
    <xf numFmtId="0" fontId="15" fillId="0" borderId="34" xfId="0" applyFont="1" applyFill="1" applyBorder="1" applyAlignment="1">
      <alignment horizontal="center" vertical="center" wrapText="1"/>
    </xf>
    <xf numFmtId="0" fontId="16" fillId="0" borderId="14" xfId="0" applyFont="1" applyFill="1" applyBorder="1" applyAlignment="1">
      <alignment horizontal="center" vertical="top" wrapText="1"/>
    </xf>
    <xf numFmtId="0" fontId="16" fillId="0" borderId="20" xfId="0" applyFont="1" applyFill="1" applyBorder="1" applyAlignment="1">
      <alignment horizontal="center" vertical="top" wrapText="1"/>
    </xf>
    <xf numFmtId="0" fontId="17" fillId="0" borderId="14"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17" fillId="0" borderId="1" xfId="0" applyFont="1" applyFill="1" applyBorder="1" applyAlignment="1">
      <alignment horizontal="center" vertical="top"/>
    </xf>
    <xf numFmtId="16" fontId="15" fillId="0" borderId="31" xfId="0" applyNumberFormat="1" applyFont="1" applyFill="1" applyBorder="1" applyAlignment="1">
      <alignment horizontal="center" vertical="center" wrapText="1"/>
    </xf>
    <xf numFmtId="16" fontId="15" fillId="0" borderId="6" xfId="0" applyNumberFormat="1" applyFont="1" applyFill="1" applyBorder="1" applyAlignment="1">
      <alignment horizontal="center" vertical="center" wrapText="1"/>
    </xf>
    <xf numFmtId="16" fontId="15" fillId="0" borderId="34" xfId="0" applyNumberFormat="1" applyFont="1" applyFill="1" applyBorder="1" applyAlignment="1">
      <alignment horizontal="center" vertical="center" wrapText="1"/>
    </xf>
    <xf numFmtId="164" fontId="15" fillId="0" borderId="14" xfId="0" applyNumberFormat="1" applyFont="1" applyFill="1" applyBorder="1" applyAlignment="1">
      <alignment horizontal="center" vertical="center" wrapText="1"/>
    </xf>
    <xf numFmtId="16" fontId="15" fillId="0" borderId="69" xfId="0" applyNumberFormat="1" applyFont="1" applyFill="1" applyBorder="1" applyAlignment="1">
      <alignment horizontal="center" vertical="top" wrapText="1"/>
    </xf>
    <xf numFmtId="16" fontId="15" fillId="0" borderId="63" xfId="0" applyNumberFormat="1" applyFont="1" applyFill="1" applyBorder="1" applyAlignment="1">
      <alignment horizontal="center" vertical="top" wrapText="1"/>
    </xf>
    <xf numFmtId="16" fontId="15" fillId="0" borderId="6" xfId="0" applyNumberFormat="1" applyFont="1" applyFill="1" applyBorder="1" applyAlignment="1">
      <alignment horizontal="center" vertical="top" wrapText="1"/>
    </xf>
    <xf numFmtId="16" fontId="15" fillId="0" borderId="31" xfId="0" applyNumberFormat="1" applyFont="1" applyFill="1" applyBorder="1" applyAlignment="1">
      <alignment horizontal="center" vertical="top" wrapText="1"/>
    </xf>
    <xf numFmtId="16" fontId="15" fillId="0" borderId="34" xfId="0" applyNumberFormat="1" applyFont="1" applyFill="1" applyBorder="1" applyAlignment="1">
      <alignment horizontal="center" vertical="top" wrapText="1"/>
    </xf>
    <xf numFmtId="16" fontId="15" fillId="0" borderId="47" xfId="0" applyNumberFormat="1" applyFont="1" applyFill="1" applyBorder="1" applyAlignment="1">
      <alignment horizontal="center" vertical="top" wrapText="1"/>
    </xf>
    <xf numFmtId="16" fontId="15" fillId="0" borderId="48" xfId="0" applyNumberFormat="1" applyFont="1" applyFill="1" applyBorder="1" applyAlignment="1">
      <alignment horizontal="center" vertical="top" wrapText="1"/>
    </xf>
    <xf numFmtId="16" fontId="15" fillId="0" borderId="11" xfId="0" applyNumberFormat="1" applyFont="1" applyFill="1" applyBorder="1" applyAlignment="1">
      <alignment horizontal="center" vertical="top" wrapText="1"/>
    </xf>
    <xf numFmtId="16" fontId="15" fillId="0" borderId="9" xfId="0" applyNumberFormat="1" applyFont="1" applyFill="1" applyBorder="1" applyAlignment="1">
      <alignment horizontal="center" vertical="top" wrapText="1"/>
    </xf>
    <xf numFmtId="16" fontId="15" fillId="0" borderId="12" xfId="0" applyNumberFormat="1" applyFont="1" applyFill="1" applyBorder="1" applyAlignment="1">
      <alignment horizontal="center" vertical="top" wrapText="1"/>
    </xf>
    <xf numFmtId="16" fontId="15" fillId="0" borderId="36" xfId="0" applyNumberFormat="1" applyFont="1" applyFill="1" applyBorder="1" applyAlignment="1">
      <alignment horizontal="center" vertical="center" wrapText="1"/>
    </xf>
    <xf numFmtId="16" fontId="15" fillId="0" borderId="63" xfId="0" applyNumberFormat="1" applyFont="1" applyFill="1" applyBorder="1" applyAlignment="1">
      <alignment horizontal="center" vertical="center" wrapText="1"/>
    </xf>
    <xf numFmtId="16" fontId="15" fillId="0" borderId="66" xfId="0" applyNumberFormat="1" applyFont="1" applyFill="1" applyBorder="1" applyAlignment="1">
      <alignment horizontal="center" vertical="center" wrapText="1"/>
    </xf>
    <xf numFmtId="164" fontId="20" fillId="0" borderId="1" xfId="0" applyNumberFormat="1" applyFont="1" applyFill="1" applyBorder="1" applyAlignment="1">
      <alignment horizontal="center" vertical="center"/>
    </xf>
    <xf numFmtId="16" fontId="15" fillId="0" borderId="47" xfId="0" applyNumberFormat="1" applyFont="1" applyFill="1" applyBorder="1" applyAlignment="1">
      <alignment horizontal="center" vertical="center" wrapText="1"/>
    </xf>
    <xf numFmtId="16" fontId="15" fillId="0" borderId="48" xfId="0" applyNumberFormat="1" applyFont="1" applyFill="1" applyBorder="1" applyAlignment="1">
      <alignment horizontal="center" vertical="center" wrapText="1"/>
    </xf>
    <xf numFmtId="16" fontId="15" fillId="0" borderId="11" xfId="0" applyNumberFormat="1" applyFont="1" applyFill="1" applyBorder="1" applyAlignment="1">
      <alignment horizontal="center" vertical="center" wrapText="1"/>
    </xf>
    <xf numFmtId="16" fontId="15" fillId="0" borderId="9" xfId="0" applyNumberFormat="1" applyFont="1" applyFill="1" applyBorder="1" applyAlignment="1">
      <alignment horizontal="center" vertical="center" wrapText="1"/>
    </xf>
    <xf numFmtId="16" fontId="15" fillId="0" borderId="12" xfId="0" applyNumberFormat="1" applyFont="1" applyFill="1" applyBorder="1" applyAlignment="1">
      <alignment horizontal="center" vertical="center" wrapText="1"/>
    </xf>
    <xf numFmtId="164" fontId="0" fillId="0" borderId="0" xfId="0" applyNumberFormat="1" applyFill="1"/>
    <xf numFmtId="0" fontId="15" fillId="0" borderId="8" xfId="0" applyFont="1" applyFill="1" applyBorder="1" applyAlignment="1">
      <alignment horizontal="center" vertical="top" wrapText="1"/>
    </xf>
    <xf numFmtId="164" fontId="15" fillId="0" borderId="8" xfId="0" applyNumberFormat="1" applyFont="1" applyFill="1" applyBorder="1" applyAlignment="1">
      <alignment horizontal="center" vertical="top" wrapText="1"/>
    </xf>
    <xf numFmtId="0" fontId="15" fillId="0" borderId="31" xfId="0" applyFont="1" applyFill="1" applyBorder="1" applyAlignment="1">
      <alignment horizontal="center" vertical="top" wrapText="1"/>
    </xf>
    <xf numFmtId="0" fontId="15" fillId="0" borderId="6" xfId="0" applyFont="1" applyFill="1" applyBorder="1" applyAlignment="1">
      <alignment horizontal="center" vertical="top" wrapText="1"/>
    </xf>
    <xf numFmtId="164" fontId="18" fillId="0" borderId="1" xfId="0" applyNumberFormat="1" applyFont="1" applyFill="1" applyBorder="1" applyAlignment="1">
      <alignment horizontal="center" vertical="top" wrapText="1"/>
    </xf>
    <xf numFmtId="0" fontId="15" fillId="0" borderId="34" xfId="0" applyFont="1" applyFill="1" applyBorder="1" applyAlignment="1">
      <alignment horizontal="center" vertical="top" wrapText="1"/>
    </xf>
    <xf numFmtId="164" fontId="18" fillId="0" borderId="14" xfId="0" applyNumberFormat="1" applyFont="1" applyFill="1" applyBorder="1" applyAlignment="1">
      <alignment horizontal="center" vertical="top" wrapText="1"/>
    </xf>
    <xf numFmtId="164" fontId="18" fillId="0" borderId="1" xfId="0" applyNumberFormat="1" applyFont="1" applyFill="1" applyBorder="1" applyAlignment="1">
      <alignment horizontal="center" vertical="center" wrapText="1"/>
    </xf>
    <xf numFmtId="164" fontId="18" fillId="0" borderId="14" xfId="0" applyNumberFormat="1" applyFont="1" applyFill="1" applyBorder="1" applyAlignment="1">
      <alignment horizontal="center" vertical="center" wrapText="1"/>
    </xf>
    <xf numFmtId="0" fontId="20" fillId="0" borderId="3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34" xfId="0" applyFont="1" applyFill="1" applyBorder="1" applyAlignment="1">
      <alignment horizontal="center" vertical="top" wrapText="1"/>
    </xf>
    <xf numFmtId="0" fontId="20" fillId="0" borderId="39" xfId="0" applyFont="1" applyFill="1" applyBorder="1" applyAlignment="1">
      <alignment horizontal="center" vertical="top" wrapText="1"/>
    </xf>
    <xf numFmtId="0" fontId="15" fillId="0" borderId="31" xfId="0" applyFont="1" applyFill="1" applyBorder="1" applyAlignment="1">
      <alignment horizontal="center" vertical="center" wrapText="1"/>
    </xf>
    <xf numFmtId="0" fontId="20" fillId="0" borderId="41" xfId="0" applyFont="1" applyFill="1" applyBorder="1" applyAlignment="1">
      <alignment horizontal="center" vertical="top" wrapText="1"/>
    </xf>
    <xf numFmtId="0" fontId="15" fillId="0" borderId="6" xfId="0" applyFont="1" applyFill="1" applyBorder="1" applyAlignment="1">
      <alignment horizontal="center" vertical="center" wrapText="1"/>
    </xf>
    <xf numFmtId="0" fontId="20" fillId="0" borderId="40" xfId="0" applyFont="1" applyFill="1" applyBorder="1" applyAlignment="1">
      <alignment horizontal="center" vertical="top" wrapText="1"/>
    </xf>
    <xf numFmtId="0" fontId="15" fillId="0" borderId="34"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35" xfId="0" applyFont="1" applyFill="1" applyBorder="1" applyAlignment="1">
      <alignment horizontal="center" vertical="top" wrapText="1"/>
    </xf>
    <xf numFmtId="164" fontId="15" fillId="0" borderId="26" xfId="0" applyNumberFormat="1" applyFont="1" applyFill="1" applyBorder="1" applyAlignment="1">
      <alignment horizontal="center" vertical="center"/>
    </xf>
    <xf numFmtId="0" fontId="20" fillId="0" borderId="52" xfId="0" applyFont="1" applyFill="1" applyBorder="1" applyAlignment="1">
      <alignment horizontal="center" vertical="center" wrapText="1"/>
    </xf>
    <xf numFmtId="0" fontId="15" fillId="0" borderId="66" xfId="0" applyFont="1" applyFill="1" applyBorder="1" applyAlignment="1">
      <alignment horizontal="center" vertical="top" wrapText="1"/>
    </xf>
    <xf numFmtId="164" fontId="18" fillId="0" borderId="13" xfId="0" applyNumberFormat="1" applyFont="1" applyFill="1" applyBorder="1" applyAlignment="1">
      <alignment horizontal="center" vertical="center"/>
    </xf>
    <xf numFmtId="0" fontId="20" fillId="0" borderId="58" xfId="0" applyFont="1" applyFill="1" applyBorder="1" applyAlignment="1">
      <alignment horizontal="center" vertical="center" wrapText="1"/>
    </xf>
    <xf numFmtId="0" fontId="17" fillId="0" borderId="66" xfId="0" applyFont="1" applyFill="1" applyBorder="1" applyAlignment="1">
      <alignment horizontal="center" vertical="center" wrapText="1"/>
    </xf>
    <xf numFmtId="164" fontId="15" fillId="0" borderId="66" xfId="0" applyNumberFormat="1" applyFont="1" applyFill="1" applyBorder="1" applyAlignment="1">
      <alignment horizontal="center" vertical="center"/>
    </xf>
    <xf numFmtId="0" fontId="17" fillId="0" borderId="66" xfId="0" applyFont="1" applyFill="1" applyBorder="1" applyAlignment="1">
      <alignment horizontal="center" vertical="top" wrapText="1"/>
    </xf>
    <xf numFmtId="0" fontId="20" fillId="0" borderId="35" xfId="0" applyFont="1" applyFill="1" applyBorder="1" applyAlignment="1">
      <alignment horizontal="center" vertical="top" wrapText="1"/>
    </xf>
    <xf numFmtId="0" fontId="20" fillId="0" borderId="66" xfId="0" applyFont="1" applyFill="1" applyBorder="1" applyAlignment="1">
      <alignment horizontal="center" vertical="top" wrapText="1"/>
    </xf>
    <xf numFmtId="0" fontId="15" fillId="0" borderId="0" xfId="0" applyFont="1" applyFill="1" applyAlignment="1">
      <alignment horizontal="center" vertical="center" wrapText="1"/>
    </xf>
    <xf numFmtId="0" fontId="20" fillId="0" borderId="63" xfId="0" applyFont="1" applyFill="1" applyBorder="1" applyAlignment="1">
      <alignment horizontal="center" vertical="top" wrapText="1"/>
    </xf>
    <xf numFmtId="164" fontId="15" fillId="0" borderId="3" xfId="0" applyNumberFormat="1" applyFont="1" applyFill="1" applyBorder="1" applyAlignment="1">
      <alignment horizontal="center" vertical="center"/>
    </xf>
    <xf numFmtId="164" fontId="15" fillId="0" borderId="63" xfId="0" applyNumberFormat="1" applyFont="1" applyFill="1" applyBorder="1" applyAlignment="1">
      <alignment horizontal="center" vertical="center"/>
    </xf>
    <xf numFmtId="164" fontId="18" fillId="0" borderId="3" xfId="0" applyNumberFormat="1" applyFont="1" applyFill="1" applyBorder="1" applyAlignment="1">
      <alignment horizontal="center" vertical="center"/>
    </xf>
    <xf numFmtId="0" fontId="15" fillId="0" borderId="32" xfId="0" applyFont="1" applyFill="1" applyBorder="1" applyAlignment="1">
      <alignment horizontal="center" vertical="center" wrapText="1"/>
    </xf>
    <xf numFmtId="0" fontId="17" fillId="0" borderId="35" xfId="0" applyFont="1" applyFill="1" applyBorder="1" applyAlignment="1">
      <alignment horizontal="center" vertical="top" wrapText="1"/>
    </xf>
    <xf numFmtId="164" fontId="15" fillId="0" borderId="35" xfId="0" applyNumberFormat="1" applyFont="1" applyFill="1" applyBorder="1" applyAlignment="1">
      <alignment horizontal="center" vertical="center"/>
    </xf>
    <xf numFmtId="164" fontId="18" fillId="0" borderId="26" xfId="0" applyNumberFormat="1" applyFont="1" applyFill="1" applyBorder="1" applyAlignment="1">
      <alignment horizontal="center" vertical="center"/>
    </xf>
    <xf numFmtId="164" fontId="0" fillId="0" borderId="21" xfId="0" applyNumberFormat="1" applyFill="1" applyBorder="1"/>
    <xf numFmtId="0" fontId="15" fillId="0" borderId="8" xfId="0" applyFont="1" applyFill="1" applyBorder="1" applyAlignment="1">
      <alignment vertical="top" wrapText="1"/>
    </xf>
    <xf numFmtId="0" fontId="15" fillId="0" borderId="1" xfId="0" applyFont="1" applyFill="1" applyBorder="1" applyAlignment="1">
      <alignment vertical="top" wrapText="1"/>
    </xf>
    <xf numFmtId="0" fontId="15" fillId="0" borderId="14" xfId="0" applyFont="1" applyFill="1" applyBorder="1" applyAlignment="1">
      <alignment vertical="top" wrapText="1"/>
    </xf>
    <xf numFmtId="0" fontId="16" fillId="0" borderId="66" xfId="0" applyFont="1" applyFill="1" applyBorder="1" applyAlignment="1">
      <alignment horizontal="center" vertical="top" wrapText="1"/>
    </xf>
    <xf numFmtId="0" fontId="19" fillId="0" borderId="55" xfId="0" applyFont="1" applyFill="1" applyBorder="1" applyAlignment="1">
      <alignment horizontal="center" vertical="top" wrapText="1"/>
    </xf>
    <xf numFmtId="0" fontId="16" fillId="0" borderId="65" xfId="0" quotePrefix="1" applyFont="1" applyFill="1" applyBorder="1" applyAlignment="1">
      <alignment horizontal="center" vertical="top" wrapText="1"/>
    </xf>
    <xf numFmtId="164" fontId="16" fillId="0" borderId="58" xfId="0" quotePrefix="1" applyNumberFormat="1" applyFont="1" applyFill="1" applyBorder="1" applyAlignment="1">
      <alignment horizontal="center" vertical="center" wrapText="1"/>
    </xf>
    <xf numFmtId="164" fontId="18" fillId="0" borderId="66" xfId="0" applyNumberFormat="1" applyFont="1" applyFill="1" applyBorder="1" applyAlignment="1">
      <alignment horizontal="center" vertical="center"/>
    </xf>
    <xf numFmtId="164" fontId="16" fillId="0" borderId="49" xfId="0" applyNumberFormat="1" applyFont="1" applyFill="1" applyBorder="1" applyAlignment="1">
      <alignment horizontal="center" vertical="center"/>
    </xf>
    <xf numFmtId="0" fontId="15" fillId="0" borderId="49" xfId="0" applyFont="1" applyFill="1" applyBorder="1" applyAlignment="1">
      <alignment horizontal="center" vertical="top" wrapText="1"/>
    </xf>
    <xf numFmtId="0" fontId="16" fillId="0" borderId="23" xfId="0" applyFont="1" applyFill="1" applyBorder="1" applyAlignment="1">
      <alignment horizontal="center" vertical="center"/>
    </xf>
    <xf numFmtId="0" fontId="15" fillId="0" borderId="45" xfId="0" applyFont="1" applyFill="1" applyBorder="1" applyAlignment="1">
      <alignment horizontal="left"/>
    </xf>
    <xf numFmtId="0" fontId="15" fillId="0" borderId="32" xfId="0" applyFont="1" applyFill="1" applyBorder="1" applyAlignment="1">
      <alignment horizontal="left"/>
    </xf>
    <xf numFmtId="0" fontId="15" fillId="0" borderId="46" xfId="0" applyFont="1" applyFill="1" applyBorder="1" applyAlignment="1">
      <alignment horizontal="left"/>
    </xf>
    <xf numFmtId="0" fontId="16" fillId="0" borderId="67"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68" xfId="0" applyFont="1" applyFill="1" applyBorder="1" applyAlignment="1">
      <alignment horizontal="center" vertical="center" wrapText="1"/>
    </xf>
    <xf numFmtId="16" fontId="15" fillId="0" borderId="8" xfId="0" applyNumberFormat="1" applyFont="1" applyFill="1" applyBorder="1" applyAlignment="1">
      <alignment horizontal="center" vertical="top" wrapText="1"/>
    </xf>
    <xf numFmtId="0" fontId="19" fillId="0" borderId="1" xfId="0" applyFont="1" applyFill="1" applyBorder="1" applyAlignment="1">
      <alignment horizontal="center" vertical="top" wrapText="1"/>
    </xf>
    <xf numFmtId="0" fontId="19" fillId="0" borderId="2"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17" xfId="0" applyFont="1" applyFill="1" applyBorder="1" applyAlignment="1">
      <alignment horizontal="center" vertical="center"/>
    </xf>
    <xf numFmtId="164" fontId="15" fillId="0" borderId="18" xfId="0" applyNumberFormat="1" applyFont="1" applyFill="1" applyBorder="1" applyAlignment="1">
      <alignment horizontal="center" vertical="center"/>
    </xf>
    <xf numFmtId="0" fontId="15" fillId="0" borderId="48" xfId="0" applyFont="1" applyFill="1" applyBorder="1" applyAlignment="1">
      <alignment horizontal="center" vertical="top" wrapText="1"/>
    </xf>
    <xf numFmtId="0" fontId="15" fillId="0" borderId="17" xfId="0" applyFont="1" applyFill="1" applyBorder="1" applyAlignment="1">
      <alignment horizontal="center" vertical="top" wrapText="1"/>
    </xf>
    <xf numFmtId="0" fontId="19" fillId="0" borderId="5" xfId="0" applyFont="1" applyFill="1" applyBorder="1" applyAlignment="1">
      <alignment horizontal="center" vertical="top" wrapText="1"/>
    </xf>
    <xf numFmtId="0" fontId="19" fillId="0" borderId="33" xfId="0" applyFont="1" applyFill="1" applyBorder="1" applyAlignment="1">
      <alignment horizontal="center" vertical="top" wrapText="1"/>
    </xf>
    <xf numFmtId="164" fontId="17" fillId="0" borderId="1" xfId="0" applyNumberFormat="1" applyFont="1" applyFill="1" applyBorder="1" applyAlignment="1">
      <alignment horizontal="center" vertical="top" wrapText="1"/>
    </xf>
    <xf numFmtId="0" fontId="19" fillId="0" borderId="62" xfId="0" applyFont="1" applyFill="1" applyBorder="1" applyAlignment="1">
      <alignment horizontal="center" vertical="top" wrapText="1"/>
    </xf>
    <xf numFmtId="0" fontId="17" fillId="0" borderId="9" xfId="0" applyFont="1" applyFill="1" applyBorder="1" applyAlignment="1">
      <alignment horizontal="center" vertical="top" wrapText="1"/>
    </xf>
    <xf numFmtId="164" fontId="17" fillId="0" borderId="2" xfId="0" applyNumberFormat="1" applyFont="1" applyFill="1" applyBorder="1" applyAlignment="1">
      <alignment horizontal="center" vertical="top" wrapText="1"/>
    </xf>
    <xf numFmtId="164" fontId="15" fillId="0" borderId="10" xfId="0" applyNumberFormat="1" applyFont="1" applyFill="1" applyBorder="1" applyAlignment="1">
      <alignment horizontal="center" vertical="center"/>
    </xf>
    <xf numFmtId="164" fontId="16" fillId="0" borderId="4" xfId="0" applyNumberFormat="1" applyFont="1" applyFill="1" applyBorder="1" applyAlignment="1">
      <alignment horizontal="center" vertical="top" wrapText="1"/>
    </xf>
    <xf numFmtId="164" fontId="16" fillId="0" borderId="60" xfId="0" applyNumberFormat="1" applyFont="1" applyFill="1" applyBorder="1" applyAlignment="1">
      <alignment horizontal="center" vertical="top" wrapText="1"/>
    </xf>
    <xf numFmtId="0" fontId="16" fillId="0" borderId="6" xfId="0" applyFont="1" applyFill="1" applyBorder="1" applyAlignment="1">
      <alignment horizontal="right" vertical="top"/>
    </xf>
    <xf numFmtId="0" fontId="16" fillId="0" borderId="1" xfId="0" applyFont="1" applyFill="1" applyBorder="1" applyAlignment="1">
      <alignment horizontal="center" vertical="top"/>
    </xf>
    <xf numFmtId="164" fontId="16" fillId="0" borderId="1" xfId="0" applyNumberFormat="1" applyFont="1" applyFill="1" applyBorder="1" applyAlignment="1">
      <alignment horizontal="center" vertical="top" wrapText="1"/>
    </xf>
    <xf numFmtId="164" fontId="16" fillId="0" borderId="5" xfId="0" applyNumberFormat="1" applyFont="1" applyFill="1" applyBorder="1" applyAlignment="1">
      <alignment horizontal="center" vertical="top" wrapText="1"/>
    </xf>
    <xf numFmtId="0" fontId="15" fillId="0" borderId="1" xfId="0" applyFont="1" applyFill="1" applyBorder="1" applyAlignment="1">
      <alignment horizontal="center" vertical="top"/>
    </xf>
    <xf numFmtId="0" fontId="16" fillId="0" borderId="6" xfId="0" applyFont="1" applyFill="1" applyBorder="1"/>
    <xf numFmtId="0" fontId="16" fillId="0" borderId="1" xfId="0" applyFont="1" applyFill="1" applyBorder="1" applyAlignment="1">
      <alignment horizontal="center"/>
    </xf>
    <xf numFmtId="0" fontId="16" fillId="0" borderId="2" xfId="0" applyFont="1" applyFill="1" applyBorder="1" applyAlignment="1">
      <alignment horizontal="center"/>
    </xf>
    <xf numFmtId="164" fontId="16" fillId="0" borderId="2" xfId="0" applyNumberFormat="1" applyFont="1" applyFill="1" applyBorder="1" applyAlignment="1">
      <alignment horizontal="center" vertical="top" wrapText="1"/>
    </xf>
    <xf numFmtId="164" fontId="16" fillId="0" borderId="59" xfId="0" applyNumberFormat="1" applyFont="1" applyFill="1" applyBorder="1" applyAlignment="1">
      <alignment horizontal="center" vertical="top" wrapText="1"/>
    </xf>
    <xf numFmtId="0" fontId="16" fillId="0" borderId="42" xfId="0" applyFont="1" applyFill="1" applyBorder="1"/>
    <xf numFmtId="0" fontId="18" fillId="0" borderId="63" xfId="0" applyFont="1" applyFill="1" applyBorder="1" applyAlignment="1">
      <alignment horizontal="center"/>
    </xf>
    <xf numFmtId="0" fontId="15" fillId="0" borderId="2" xfId="0" applyFont="1" applyFill="1" applyBorder="1" applyAlignment="1">
      <alignment horizontal="center" vertical="top"/>
    </xf>
    <xf numFmtId="0" fontId="0" fillId="0" borderId="0" xfId="0" applyFill="1" applyBorder="1"/>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vertical="center"/>
    </xf>
    <xf numFmtId="0" fontId="8" fillId="0" borderId="0" xfId="0" applyFont="1" applyFill="1" applyBorder="1" applyAlignment="1">
      <alignment horizontal="center" vertical="center"/>
    </xf>
    <xf numFmtId="0" fontId="5" fillId="0" borderId="0" xfId="0" applyFont="1" applyFill="1" applyBorder="1"/>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12" fillId="0" borderId="0" xfId="0" applyFont="1" applyFill="1" applyBorder="1"/>
    <xf numFmtId="43" fontId="15" fillId="0" borderId="57" xfId="1" applyFont="1" applyFill="1" applyBorder="1" applyAlignment="1">
      <alignment horizontal="center" vertical="center"/>
    </xf>
    <xf numFmtId="43" fontId="15" fillId="0" borderId="52" xfId="1" applyFont="1" applyFill="1" applyBorder="1" applyAlignment="1">
      <alignment horizontal="center" vertical="center"/>
    </xf>
    <xf numFmtId="43" fontId="15" fillId="0" borderId="71" xfId="1" applyFont="1" applyFill="1" applyBorder="1" applyAlignment="1">
      <alignment horizontal="center" vertical="center"/>
    </xf>
    <xf numFmtId="43" fontId="15" fillId="0" borderId="43" xfId="1" applyFont="1" applyFill="1" applyBorder="1" applyAlignment="1">
      <alignment horizontal="center" vertical="center"/>
    </xf>
    <xf numFmtId="43" fontId="15" fillId="0" borderId="58" xfId="1" applyFont="1" applyFill="1" applyBorder="1" applyAlignment="1">
      <alignment horizontal="center" vertical="center"/>
    </xf>
    <xf numFmtId="0" fontId="17" fillId="0" borderId="1" xfId="0" applyFont="1" applyFill="1" applyBorder="1" applyAlignment="1">
      <alignment horizontal="center" vertical="center" wrapText="1"/>
    </xf>
    <xf numFmtId="49" fontId="15" fillId="0" borderId="4" xfId="1" applyNumberFormat="1" applyFont="1" applyFill="1" applyBorder="1" applyAlignment="1">
      <alignment vertical="center"/>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49" fontId="15" fillId="0" borderId="2" xfId="1" applyNumberFormat="1" applyFont="1" applyFill="1" applyBorder="1" applyAlignment="1">
      <alignment horizontal="center" vertical="center"/>
    </xf>
    <xf numFmtId="49" fontId="15" fillId="0" borderId="3" xfId="1" applyNumberFormat="1"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vertical="top" wrapText="1"/>
    </xf>
    <xf numFmtId="0" fontId="16" fillId="0" borderId="47" xfId="0" applyFont="1" applyFill="1" applyBorder="1" applyAlignment="1">
      <alignment horizontal="center" vertical="center" wrapText="1"/>
    </xf>
    <xf numFmtId="0" fontId="4" fillId="0" borderId="0" xfId="0" applyFont="1" applyFill="1" applyBorder="1" applyAlignment="1">
      <alignment horizontal="center"/>
    </xf>
    <xf numFmtId="0" fontId="9" fillId="0" borderId="0" xfId="0" applyFont="1" applyFill="1" applyBorder="1" applyAlignment="1">
      <alignment horizontal="center" vertical="center"/>
    </xf>
    <xf numFmtId="0" fontId="3" fillId="0" borderId="0" xfId="0" applyFont="1" applyFill="1" applyBorder="1" applyAlignment="1">
      <alignment horizontal="right" vertical="top"/>
    </xf>
    <xf numFmtId="164" fontId="9" fillId="0" borderId="0" xfId="0" applyNumberFormat="1" applyFont="1" applyFill="1" applyBorder="1"/>
    <xf numFmtId="164" fontId="3" fillId="0" borderId="0" xfId="0" applyNumberFormat="1" applyFont="1" applyFill="1" applyBorder="1"/>
    <xf numFmtId="0" fontId="4" fillId="0" borderId="0" xfId="0" applyFont="1" applyFill="1" applyBorder="1" applyAlignment="1">
      <alignment horizontal="center" vertical="top"/>
    </xf>
    <xf numFmtId="0" fontId="15" fillId="0" borderId="0" xfId="0" applyFont="1" applyFill="1" applyBorder="1" applyAlignment="1">
      <alignment horizontal="left" vertical="top" wrapText="1"/>
    </xf>
    <xf numFmtId="164" fontId="0" fillId="0" borderId="0" xfId="0" applyNumberFormat="1" applyFill="1" applyBorder="1"/>
    <xf numFmtId="0" fontId="5" fillId="0" borderId="0" xfId="0" applyFont="1" applyFill="1" applyBorder="1" applyAlignment="1">
      <alignment horizontal="left" vertical="top" wrapText="1"/>
    </xf>
    <xf numFmtId="16" fontId="15" fillId="0" borderId="48" xfId="0" applyNumberFormat="1" applyFont="1" applyFill="1" applyBorder="1" applyAlignment="1">
      <alignment vertical="center" wrapText="1"/>
    </xf>
    <xf numFmtId="0" fontId="16" fillId="0" borderId="76" xfId="0" applyFont="1" applyFill="1" applyBorder="1" applyAlignment="1">
      <alignment horizontal="center" vertical="center" wrapText="1"/>
    </xf>
    <xf numFmtId="164" fontId="16" fillId="0" borderId="7" xfId="0" applyNumberFormat="1" applyFont="1" applyFill="1" applyBorder="1" applyAlignment="1">
      <alignment horizontal="center" vertical="center" wrapText="1"/>
    </xf>
    <xf numFmtId="164" fontId="16" fillId="0" borderId="54" xfId="0" applyNumberFormat="1" applyFont="1" applyFill="1" applyBorder="1" applyAlignment="1">
      <alignment horizontal="center" vertical="center" wrapText="1"/>
    </xf>
    <xf numFmtId="0" fontId="15" fillId="0" borderId="53" xfId="0" applyFont="1" applyFill="1" applyBorder="1" applyAlignment="1">
      <alignment vertical="top" wrapText="1"/>
    </xf>
    <xf numFmtId="0" fontId="16" fillId="0" borderId="1" xfId="0" applyFont="1" applyFill="1" applyBorder="1" applyAlignment="1">
      <alignment horizontal="center" vertical="top" wrapText="1"/>
    </xf>
    <xf numFmtId="0" fontId="16" fillId="0" borderId="77" xfId="0" applyFont="1" applyFill="1" applyBorder="1" applyAlignment="1">
      <alignment horizontal="right" vertical="top"/>
    </xf>
    <xf numFmtId="0" fontId="16" fillId="0" borderId="15" xfId="0" applyFont="1" applyFill="1" applyBorder="1" applyAlignment="1">
      <alignment horizontal="center" vertical="center" wrapText="1"/>
    </xf>
    <xf numFmtId="164" fontId="16" fillId="0" borderId="8" xfId="0" applyNumberFormat="1" applyFont="1" applyFill="1" applyBorder="1" applyAlignment="1">
      <alignment horizontal="center"/>
    </xf>
    <xf numFmtId="164" fontId="16" fillId="0" borderId="44" xfId="0" applyNumberFormat="1" applyFont="1" applyFill="1" applyBorder="1" applyAlignment="1">
      <alignment horizontal="center"/>
    </xf>
    <xf numFmtId="0" fontId="16" fillId="0" borderId="56" xfId="0" applyFont="1" applyFill="1" applyBorder="1" applyAlignment="1">
      <alignment horizontal="center" vertical="center"/>
    </xf>
    <xf numFmtId="0" fontId="16" fillId="0" borderId="74" xfId="0" applyFont="1" applyFill="1" applyBorder="1" applyAlignment="1">
      <alignment horizontal="center" vertical="center"/>
    </xf>
    <xf numFmtId="0" fontId="15" fillId="0" borderId="2" xfId="0" applyFont="1" applyFill="1" applyBorder="1" applyAlignment="1">
      <alignment horizontal="center"/>
    </xf>
    <xf numFmtId="0" fontId="15" fillId="0" borderId="3" xfId="0" applyFont="1" applyFill="1" applyBorder="1" applyAlignment="1">
      <alignment horizontal="center"/>
    </xf>
    <xf numFmtId="0" fontId="15" fillId="0" borderId="4" xfId="0" applyFont="1" applyFill="1" applyBorder="1" applyAlignment="1">
      <alignment horizontal="center"/>
    </xf>
    <xf numFmtId="0" fontId="19" fillId="0" borderId="3" xfId="0" applyFont="1" applyFill="1" applyBorder="1" applyAlignment="1">
      <alignment horizontal="center" vertical="top" wrapText="1"/>
    </xf>
    <xf numFmtId="49" fontId="15" fillId="0" borderId="10" xfId="1" applyNumberFormat="1" applyFont="1" applyFill="1" applyBorder="1" applyAlignment="1">
      <alignment horizontal="center" vertical="center"/>
    </xf>
    <xf numFmtId="16" fontId="15" fillId="0" borderId="5" xfId="0" applyNumberFormat="1" applyFont="1" applyFill="1" applyBorder="1" applyAlignment="1">
      <alignment horizontal="center" vertical="top" wrapText="1"/>
    </xf>
    <xf numFmtId="0" fontId="15" fillId="0" borderId="9" xfId="0" applyFont="1" applyFill="1" applyBorder="1" applyAlignment="1">
      <alignment horizontal="center" vertical="top" wrapText="1"/>
    </xf>
    <xf numFmtId="49" fontId="15" fillId="0" borderId="50" xfId="1" applyNumberFormat="1" applyFont="1" applyFill="1" applyBorder="1" applyAlignment="1">
      <alignment horizontal="center" vertical="center"/>
    </xf>
    <xf numFmtId="49" fontId="15" fillId="0" borderId="50" xfId="1" applyNumberFormat="1" applyFont="1" applyFill="1" applyBorder="1" applyAlignment="1">
      <alignment vertical="center"/>
    </xf>
    <xf numFmtId="0" fontId="16" fillId="0" borderId="7" xfId="0" applyFont="1" applyFill="1" applyBorder="1" applyAlignment="1">
      <alignment horizontal="center" vertical="center"/>
    </xf>
    <xf numFmtId="0" fontId="16" fillId="0" borderId="54" xfId="0" applyFont="1" applyFill="1" applyBorder="1" applyAlignment="1">
      <alignment horizontal="center" vertical="center"/>
    </xf>
    <xf numFmtId="0" fontId="15" fillId="0" borderId="60" xfId="0" applyFont="1" applyFill="1" applyBorder="1" applyAlignment="1">
      <alignment horizontal="left" wrapText="1"/>
    </xf>
    <xf numFmtId="0" fontId="15" fillId="0" borderId="61" xfId="0" applyFont="1" applyFill="1" applyBorder="1" applyAlignment="1">
      <alignment horizontal="left" wrapText="1"/>
    </xf>
    <xf numFmtId="0" fontId="15" fillId="0" borderId="75" xfId="0" applyFont="1" applyFill="1" applyBorder="1" applyAlignment="1">
      <alignment horizontal="left" wrapText="1"/>
    </xf>
    <xf numFmtId="49" fontId="15" fillId="0" borderId="14" xfId="1" applyNumberFormat="1" applyFont="1" applyFill="1" applyBorder="1" applyAlignment="1">
      <alignment horizontal="center" vertical="center"/>
    </xf>
    <xf numFmtId="0" fontId="16" fillId="0" borderId="4" xfId="0" applyFont="1" applyFill="1" applyBorder="1" applyAlignment="1">
      <alignment vertical="center" wrapText="1"/>
    </xf>
    <xf numFmtId="0" fontId="15" fillId="0" borderId="60" xfId="0" applyFont="1" applyFill="1" applyBorder="1" applyAlignment="1">
      <alignment horizontal="center" vertical="center" wrapText="1"/>
    </xf>
    <xf numFmtId="0" fontId="16" fillId="0" borderId="11" xfId="0" applyFont="1" applyFill="1" applyBorder="1" applyAlignment="1">
      <alignment vertical="center"/>
    </xf>
    <xf numFmtId="164" fontId="16" fillId="0" borderId="4" xfId="0" applyNumberFormat="1" applyFont="1" applyFill="1" applyBorder="1" applyAlignment="1">
      <alignment horizontal="center" vertical="center"/>
    </xf>
    <xf numFmtId="164" fontId="16" fillId="0" borderId="24" xfId="0" applyNumberFormat="1" applyFont="1" applyFill="1" applyBorder="1" applyAlignment="1">
      <alignment horizontal="center" vertical="center"/>
    </xf>
    <xf numFmtId="0" fontId="15" fillId="0" borderId="70" xfId="0" applyFont="1" applyFill="1" applyBorder="1" applyAlignment="1">
      <alignment horizont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7"/>
  <sheetViews>
    <sheetView tabSelected="1" defaultGridColor="0" view="pageBreakPreview" topLeftCell="A226" colorId="24" zoomScale="70" zoomScaleNormal="90" zoomScaleSheetLayoutView="70" workbookViewId="0">
      <selection activeCell="E227" sqref="E227"/>
    </sheetView>
  </sheetViews>
  <sheetFormatPr defaultRowHeight="18.75" x14ac:dyDescent="0.3"/>
  <cols>
    <col min="1" max="1" width="5.42578125" style="55" customWidth="1"/>
    <col min="2" max="2" width="69.140625" style="57" customWidth="1"/>
    <col min="3" max="3" width="21" style="55" hidden="1" customWidth="1"/>
    <col min="4" max="4" width="15" style="55" customWidth="1"/>
    <col min="5" max="5" width="18.28515625" style="55" customWidth="1"/>
    <col min="6" max="6" width="13" style="55" customWidth="1"/>
    <col min="7" max="7" width="16.5703125" style="55" customWidth="1"/>
    <col min="8" max="8" width="15.28515625" style="55" customWidth="1"/>
    <col min="9" max="9" width="14.28515625" style="55" customWidth="1"/>
    <col min="10" max="10" width="13.7109375" style="55" customWidth="1"/>
    <col min="11" max="11" width="30" style="55" customWidth="1"/>
    <col min="12" max="12" width="26.7109375" style="55" customWidth="1"/>
    <col min="13" max="13" width="20.42578125" style="55" customWidth="1"/>
    <col min="14" max="14" width="25.140625" style="55" customWidth="1"/>
    <col min="15" max="16384" width="9.140625" style="55"/>
  </cols>
  <sheetData>
    <row r="1" spans="1:12" ht="21" x14ac:dyDescent="0.35">
      <c r="A1" s="49"/>
      <c r="B1" s="50"/>
      <c r="C1" s="51">
        <v>0</v>
      </c>
      <c r="D1" s="52" t="s">
        <v>349</v>
      </c>
      <c r="E1" s="52"/>
      <c r="F1" s="52"/>
      <c r="G1" s="52"/>
      <c r="H1" s="52"/>
      <c r="I1" s="52"/>
      <c r="J1" s="52"/>
      <c r="K1" s="53"/>
      <c r="L1" s="54" t="s">
        <v>13</v>
      </c>
    </row>
    <row r="2" spans="1:12" ht="21" x14ac:dyDescent="0.35">
      <c r="A2" s="56"/>
      <c r="C2" s="58"/>
      <c r="D2" s="59"/>
      <c r="E2" s="59"/>
      <c r="F2" s="59"/>
      <c r="G2" s="59"/>
      <c r="H2" s="59"/>
      <c r="I2" s="59"/>
      <c r="J2" s="59"/>
      <c r="K2" s="60"/>
      <c r="L2" s="61" t="s">
        <v>14</v>
      </c>
    </row>
    <row r="3" spans="1:12" ht="33.75" customHeight="1" thickBot="1" x14ac:dyDescent="0.4">
      <c r="A3" s="56"/>
      <c r="C3" s="58"/>
      <c r="D3" s="62"/>
      <c r="E3" s="62"/>
      <c r="F3" s="62"/>
      <c r="G3" s="62"/>
      <c r="H3" s="62"/>
      <c r="I3" s="62"/>
      <c r="J3" s="62"/>
      <c r="K3" s="60"/>
      <c r="L3" s="61" t="s">
        <v>301</v>
      </c>
    </row>
    <row r="4" spans="1:12" ht="20.25" thickBot="1" x14ac:dyDescent="0.3">
      <c r="A4" s="63" t="s">
        <v>218</v>
      </c>
      <c r="B4" s="64" t="s">
        <v>0</v>
      </c>
      <c r="C4" s="65"/>
      <c r="D4" s="66" t="s">
        <v>178</v>
      </c>
      <c r="E4" s="67" t="s">
        <v>347</v>
      </c>
      <c r="F4" s="68" t="s">
        <v>189</v>
      </c>
      <c r="G4" s="69"/>
      <c r="H4" s="69"/>
      <c r="I4" s="69"/>
      <c r="J4" s="70"/>
      <c r="K4" s="66" t="s">
        <v>1</v>
      </c>
      <c r="L4" s="71" t="s">
        <v>291</v>
      </c>
    </row>
    <row r="5" spans="1:12" ht="19.5" x14ac:dyDescent="0.25">
      <c r="A5" s="72"/>
      <c r="B5" s="73"/>
      <c r="C5" s="74"/>
      <c r="D5" s="75"/>
      <c r="E5" s="76"/>
      <c r="F5" s="63" t="s">
        <v>217</v>
      </c>
      <c r="G5" s="77" t="s">
        <v>334</v>
      </c>
      <c r="H5" s="77" t="s">
        <v>4</v>
      </c>
      <c r="I5" s="77" t="s">
        <v>348</v>
      </c>
      <c r="J5" s="77" t="s">
        <v>15</v>
      </c>
      <c r="K5" s="75"/>
      <c r="L5" s="78"/>
    </row>
    <row r="6" spans="1:12" ht="134.25" customHeight="1" x14ac:dyDescent="0.25">
      <c r="A6" s="79"/>
      <c r="B6" s="80"/>
      <c r="C6" s="81"/>
      <c r="D6" s="82"/>
      <c r="E6" s="76"/>
      <c r="F6" s="79"/>
      <c r="G6" s="79"/>
      <c r="H6" s="79"/>
      <c r="I6" s="79"/>
      <c r="J6" s="79"/>
      <c r="K6" s="82"/>
      <c r="L6" s="83"/>
    </row>
    <row r="7" spans="1:12" ht="19.5" x14ac:dyDescent="0.3">
      <c r="A7" s="84">
        <v>1</v>
      </c>
      <c r="B7" s="84">
        <v>2</v>
      </c>
      <c r="C7" s="84"/>
      <c r="D7" s="84">
        <v>3</v>
      </c>
      <c r="E7" s="84">
        <v>4</v>
      </c>
      <c r="F7" s="84">
        <v>5</v>
      </c>
      <c r="G7" s="84">
        <v>6</v>
      </c>
      <c r="H7" s="84">
        <v>7</v>
      </c>
      <c r="I7" s="84">
        <v>8</v>
      </c>
      <c r="J7" s="84">
        <v>9</v>
      </c>
      <c r="K7" s="84">
        <v>10</v>
      </c>
      <c r="L7" s="84">
        <v>11</v>
      </c>
    </row>
    <row r="8" spans="1:12" ht="19.5" x14ac:dyDescent="0.3">
      <c r="A8" s="85" t="s">
        <v>2</v>
      </c>
      <c r="B8" s="86" t="s">
        <v>338</v>
      </c>
      <c r="C8" s="87"/>
      <c r="D8" s="87"/>
      <c r="E8" s="87"/>
      <c r="F8" s="87"/>
      <c r="G8" s="87"/>
      <c r="H8" s="87"/>
      <c r="I8" s="87"/>
      <c r="J8" s="87"/>
      <c r="K8" s="87"/>
      <c r="L8" s="88"/>
    </row>
    <row r="9" spans="1:12" ht="20.25" thickBot="1" x14ac:dyDescent="0.35">
      <c r="A9" s="89"/>
      <c r="B9" s="90" t="s">
        <v>339</v>
      </c>
      <c r="C9" s="91"/>
      <c r="D9" s="91"/>
      <c r="E9" s="91"/>
      <c r="F9" s="91"/>
      <c r="G9" s="91"/>
      <c r="H9" s="91"/>
      <c r="I9" s="91"/>
      <c r="J9" s="91"/>
      <c r="K9" s="91"/>
      <c r="L9" s="92"/>
    </row>
    <row r="10" spans="1:12" ht="21.75" customHeight="1" x14ac:dyDescent="0.25">
      <c r="A10" s="127" t="s">
        <v>3</v>
      </c>
      <c r="B10" s="366"/>
      <c r="C10" s="366"/>
      <c r="D10" s="366"/>
      <c r="E10" s="366"/>
      <c r="F10" s="366"/>
      <c r="G10" s="366"/>
      <c r="H10" s="366"/>
      <c r="I10" s="366"/>
      <c r="J10" s="366"/>
      <c r="K10" s="366"/>
      <c r="L10" s="367"/>
    </row>
    <row r="11" spans="1:12" ht="26.1" customHeight="1" x14ac:dyDescent="0.25">
      <c r="A11" s="33" t="s">
        <v>10</v>
      </c>
      <c r="B11" s="102" t="s">
        <v>9</v>
      </c>
      <c r="C11" s="103"/>
      <c r="D11" s="104">
        <v>2018</v>
      </c>
      <c r="E11" s="105">
        <f>F11+G11+H11+J11</f>
        <v>6000</v>
      </c>
      <c r="F11" s="105">
        <v>0</v>
      </c>
      <c r="G11" s="105">
        <v>3000</v>
      </c>
      <c r="H11" s="105">
        <v>3000</v>
      </c>
      <c r="I11" s="105">
        <v>3000</v>
      </c>
      <c r="J11" s="105">
        <v>0</v>
      </c>
      <c r="K11" s="106" t="s">
        <v>5</v>
      </c>
      <c r="L11" s="106" t="s">
        <v>6</v>
      </c>
    </row>
    <row r="12" spans="1:12" ht="26.1" customHeight="1" x14ac:dyDescent="0.25">
      <c r="A12" s="33"/>
      <c r="B12" s="102"/>
      <c r="C12" s="103"/>
      <c r="D12" s="104">
        <v>2019</v>
      </c>
      <c r="E12" s="105">
        <f t="shared" ref="E12:E28" si="0">F12+G12+H12+J12</f>
        <v>6000</v>
      </c>
      <c r="F12" s="105">
        <v>0</v>
      </c>
      <c r="G12" s="105">
        <v>3000</v>
      </c>
      <c r="H12" s="105">
        <v>3000</v>
      </c>
      <c r="I12" s="105">
        <v>3000</v>
      </c>
      <c r="J12" s="105">
        <v>0</v>
      </c>
      <c r="K12" s="106"/>
      <c r="L12" s="106"/>
    </row>
    <row r="13" spans="1:12" ht="26.1" customHeight="1" x14ac:dyDescent="0.25">
      <c r="A13" s="33"/>
      <c r="B13" s="102"/>
      <c r="C13" s="103"/>
      <c r="D13" s="108">
        <v>2020</v>
      </c>
      <c r="E13" s="105">
        <f t="shared" si="0"/>
        <v>0</v>
      </c>
      <c r="F13" s="109">
        <v>0</v>
      </c>
      <c r="G13" s="105">
        <v>0</v>
      </c>
      <c r="H13" s="105">
        <v>0</v>
      </c>
      <c r="I13" s="105">
        <v>0</v>
      </c>
      <c r="J13" s="105">
        <v>0</v>
      </c>
      <c r="K13" s="106"/>
      <c r="L13" s="106"/>
    </row>
    <row r="14" spans="1:12" ht="26.1" customHeight="1" x14ac:dyDescent="0.25">
      <c r="A14" s="33"/>
      <c r="B14" s="102"/>
      <c r="C14" s="103"/>
      <c r="D14" s="108">
        <v>2021</v>
      </c>
      <c r="E14" s="105">
        <f t="shared" si="0"/>
        <v>0</v>
      </c>
      <c r="F14" s="109">
        <v>0</v>
      </c>
      <c r="G14" s="105">
        <v>0</v>
      </c>
      <c r="H14" s="105">
        <v>0</v>
      </c>
      <c r="I14" s="105">
        <v>0</v>
      </c>
      <c r="J14" s="105">
        <v>0</v>
      </c>
      <c r="K14" s="106"/>
      <c r="L14" s="106"/>
    </row>
    <row r="15" spans="1:12" ht="26.1" customHeight="1" x14ac:dyDescent="0.25">
      <c r="A15" s="33"/>
      <c r="B15" s="102"/>
      <c r="C15" s="103"/>
      <c r="D15" s="108">
        <v>2022</v>
      </c>
      <c r="E15" s="105">
        <f t="shared" si="0"/>
        <v>0</v>
      </c>
      <c r="F15" s="109">
        <v>0</v>
      </c>
      <c r="G15" s="105">
        <v>0</v>
      </c>
      <c r="H15" s="105">
        <v>0</v>
      </c>
      <c r="I15" s="105">
        <v>0</v>
      </c>
      <c r="J15" s="105">
        <v>0</v>
      </c>
      <c r="K15" s="106"/>
      <c r="L15" s="106"/>
    </row>
    <row r="16" spans="1:12" ht="26.1" customHeight="1" x14ac:dyDescent="0.25">
      <c r="A16" s="33"/>
      <c r="B16" s="102"/>
      <c r="C16" s="103"/>
      <c r="D16" s="108">
        <v>2023</v>
      </c>
      <c r="E16" s="105">
        <f t="shared" si="0"/>
        <v>0</v>
      </c>
      <c r="F16" s="109">
        <v>0</v>
      </c>
      <c r="G16" s="105">
        <v>0</v>
      </c>
      <c r="H16" s="105">
        <f>I16</f>
        <v>0</v>
      </c>
      <c r="I16" s="105">
        <v>0</v>
      </c>
      <c r="J16" s="105">
        <v>0</v>
      </c>
      <c r="K16" s="106"/>
      <c r="L16" s="106"/>
    </row>
    <row r="17" spans="1:12" ht="26.1" customHeight="1" x14ac:dyDescent="0.25">
      <c r="A17" s="33"/>
      <c r="B17" s="102"/>
      <c r="C17" s="103"/>
      <c r="D17" s="108">
        <v>2024</v>
      </c>
      <c r="E17" s="105">
        <f t="shared" si="0"/>
        <v>0</v>
      </c>
      <c r="F17" s="109">
        <v>0</v>
      </c>
      <c r="G17" s="105">
        <v>0</v>
      </c>
      <c r="H17" s="105">
        <f>I17</f>
        <v>0</v>
      </c>
      <c r="I17" s="105">
        <v>0</v>
      </c>
      <c r="J17" s="105">
        <v>0</v>
      </c>
      <c r="K17" s="106"/>
      <c r="L17" s="106"/>
    </row>
    <row r="18" spans="1:12" ht="26.1" customHeight="1" x14ac:dyDescent="0.25">
      <c r="A18" s="33"/>
      <c r="B18" s="102"/>
      <c r="C18" s="103"/>
      <c r="D18" s="108">
        <v>2025</v>
      </c>
      <c r="E18" s="105">
        <f t="shared" si="0"/>
        <v>0</v>
      </c>
      <c r="F18" s="109">
        <v>0</v>
      </c>
      <c r="G18" s="105">
        <v>0</v>
      </c>
      <c r="H18" s="105">
        <v>0</v>
      </c>
      <c r="I18" s="105">
        <v>0</v>
      </c>
      <c r="J18" s="105">
        <v>0</v>
      </c>
      <c r="K18" s="106"/>
      <c r="L18" s="106"/>
    </row>
    <row r="19" spans="1:12" ht="26.1" customHeight="1" thickBot="1" x14ac:dyDescent="0.3">
      <c r="A19" s="371"/>
      <c r="B19" s="110"/>
      <c r="C19" s="111"/>
      <c r="D19" s="112">
        <v>2026</v>
      </c>
      <c r="E19" s="113">
        <f t="shared" si="0"/>
        <v>0</v>
      </c>
      <c r="F19" s="113">
        <v>0</v>
      </c>
      <c r="G19" s="113">
        <v>0</v>
      </c>
      <c r="H19" s="113">
        <v>0</v>
      </c>
      <c r="I19" s="113">
        <v>0</v>
      </c>
      <c r="J19" s="113">
        <v>0</v>
      </c>
      <c r="K19" s="114"/>
      <c r="L19" s="114"/>
    </row>
    <row r="20" spans="1:12" ht="26.1" customHeight="1" x14ac:dyDescent="0.25">
      <c r="A20" s="32" t="s">
        <v>11</v>
      </c>
      <c r="B20" s="116" t="s">
        <v>23</v>
      </c>
      <c r="C20" s="117"/>
      <c r="D20" s="118">
        <v>2018</v>
      </c>
      <c r="E20" s="119">
        <f t="shared" si="0"/>
        <v>0</v>
      </c>
      <c r="F20" s="119">
        <v>0</v>
      </c>
      <c r="G20" s="119">
        <v>0</v>
      </c>
      <c r="H20" s="119">
        <v>0</v>
      </c>
      <c r="I20" s="119">
        <v>0</v>
      </c>
      <c r="J20" s="119">
        <v>0</v>
      </c>
      <c r="K20" s="120" t="s">
        <v>7</v>
      </c>
      <c r="L20" s="120" t="s">
        <v>6</v>
      </c>
    </row>
    <row r="21" spans="1:12" ht="26.1" customHeight="1" x14ac:dyDescent="0.25">
      <c r="A21" s="33"/>
      <c r="B21" s="102"/>
      <c r="C21" s="103"/>
      <c r="D21" s="104">
        <v>2019</v>
      </c>
      <c r="E21" s="105">
        <f t="shared" si="0"/>
        <v>0</v>
      </c>
      <c r="F21" s="105">
        <v>0</v>
      </c>
      <c r="G21" s="105">
        <v>0</v>
      </c>
      <c r="H21" s="105">
        <v>0</v>
      </c>
      <c r="I21" s="105">
        <v>0</v>
      </c>
      <c r="J21" s="105">
        <v>0</v>
      </c>
      <c r="K21" s="106"/>
      <c r="L21" s="106"/>
    </row>
    <row r="22" spans="1:12" ht="26.1" customHeight="1" x14ac:dyDescent="0.25">
      <c r="A22" s="33"/>
      <c r="B22" s="102"/>
      <c r="C22" s="103"/>
      <c r="D22" s="108">
        <v>2020</v>
      </c>
      <c r="E22" s="105">
        <f>F22+G22+H22+J22</f>
        <v>6750</v>
      </c>
      <c r="F22" s="122">
        <v>0</v>
      </c>
      <c r="G22" s="105">
        <v>5700</v>
      </c>
      <c r="H22" s="105">
        <v>1050</v>
      </c>
      <c r="I22" s="105">
        <v>300</v>
      </c>
      <c r="J22" s="105">
        <v>0</v>
      </c>
      <c r="K22" s="106"/>
      <c r="L22" s="106"/>
    </row>
    <row r="23" spans="1:12" ht="26.1" customHeight="1" x14ac:dyDescent="0.25">
      <c r="A23" s="33"/>
      <c r="B23" s="102"/>
      <c r="C23" s="103"/>
      <c r="D23" s="108">
        <v>2021</v>
      </c>
      <c r="E23" s="105">
        <f t="shared" si="0"/>
        <v>7200</v>
      </c>
      <c r="F23" s="122">
        <v>0</v>
      </c>
      <c r="G23" s="105">
        <v>5700</v>
      </c>
      <c r="H23" s="105">
        <v>1500</v>
      </c>
      <c r="I23" s="105">
        <v>300</v>
      </c>
      <c r="J23" s="105">
        <v>0</v>
      </c>
      <c r="K23" s="106"/>
      <c r="L23" s="106"/>
    </row>
    <row r="24" spans="1:12" ht="26.1" customHeight="1" x14ac:dyDescent="0.25">
      <c r="A24" s="33"/>
      <c r="B24" s="102"/>
      <c r="C24" s="103"/>
      <c r="D24" s="108">
        <v>2022</v>
      </c>
      <c r="E24" s="105">
        <f t="shared" si="0"/>
        <v>0</v>
      </c>
      <c r="F24" s="122">
        <v>0</v>
      </c>
      <c r="G24" s="105">
        <v>0</v>
      </c>
      <c r="H24" s="105">
        <v>0</v>
      </c>
      <c r="I24" s="105">
        <v>0</v>
      </c>
      <c r="J24" s="105">
        <v>0</v>
      </c>
      <c r="K24" s="106"/>
      <c r="L24" s="106"/>
    </row>
    <row r="25" spans="1:12" ht="26.1" customHeight="1" x14ac:dyDescent="0.25">
      <c r="A25" s="33"/>
      <c r="B25" s="102"/>
      <c r="C25" s="103"/>
      <c r="D25" s="108">
        <v>2023</v>
      </c>
      <c r="E25" s="105">
        <f t="shared" si="0"/>
        <v>0</v>
      </c>
      <c r="F25" s="122">
        <v>0</v>
      </c>
      <c r="G25" s="105">
        <v>0</v>
      </c>
      <c r="H25" s="105">
        <f>I25</f>
        <v>0</v>
      </c>
      <c r="I25" s="105">
        <v>0</v>
      </c>
      <c r="J25" s="105">
        <v>0</v>
      </c>
      <c r="K25" s="106"/>
      <c r="L25" s="106"/>
    </row>
    <row r="26" spans="1:12" ht="26.1" customHeight="1" x14ac:dyDescent="0.25">
      <c r="A26" s="33"/>
      <c r="B26" s="102"/>
      <c r="C26" s="103"/>
      <c r="D26" s="108">
        <v>2024</v>
      </c>
      <c r="E26" s="105">
        <f>F26+G26+H26+J26</f>
        <v>0</v>
      </c>
      <c r="F26" s="122">
        <v>0</v>
      </c>
      <c r="G26" s="105">
        <v>0</v>
      </c>
      <c r="H26" s="123">
        <f>I26</f>
        <v>0</v>
      </c>
      <c r="I26" s="105">
        <v>0</v>
      </c>
      <c r="J26" s="105">
        <v>0</v>
      </c>
      <c r="K26" s="106"/>
      <c r="L26" s="106"/>
    </row>
    <row r="27" spans="1:12" ht="26.1" customHeight="1" x14ac:dyDescent="0.25">
      <c r="A27" s="33"/>
      <c r="B27" s="102"/>
      <c r="C27" s="103"/>
      <c r="D27" s="108">
        <v>2025</v>
      </c>
      <c r="E27" s="105">
        <f t="shared" si="0"/>
        <v>0</v>
      </c>
      <c r="F27" s="122">
        <v>0</v>
      </c>
      <c r="G27" s="105">
        <v>0</v>
      </c>
      <c r="H27" s="123">
        <f>I27</f>
        <v>0</v>
      </c>
      <c r="I27" s="105">
        <v>0</v>
      </c>
      <c r="J27" s="105">
        <v>0</v>
      </c>
      <c r="K27" s="106"/>
      <c r="L27" s="106"/>
    </row>
    <row r="28" spans="1:12" ht="26.1" customHeight="1" thickBot="1" x14ac:dyDescent="0.3">
      <c r="A28" s="371"/>
      <c r="B28" s="110"/>
      <c r="C28" s="111"/>
      <c r="D28" s="124">
        <v>2026</v>
      </c>
      <c r="E28" s="113">
        <f t="shared" si="0"/>
        <v>0</v>
      </c>
      <c r="F28" s="125">
        <v>0</v>
      </c>
      <c r="G28" s="113">
        <v>0</v>
      </c>
      <c r="H28" s="126">
        <v>0</v>
      </c>
      <c r="I28" s="113">
        <v>0</v>
      </c>
      <c r="J28" s="113">
        <v>0</v>
      </c>
      <c r="K28" s="114"/>
      <c r="L28" s="114"/>
    </row>
    <row r="29" spans="1:12" ht="26.1" customHeight="1" x14ac:dyDescent="0.3">
      <c r="A29" s="327"/>
      <c r="B29" s="372"/>
      <c r="C29" s="373"/>
      <c r="D29" s="374" t="s">
        <v>8</v>
      </c>
      <c r="E29" s="375">
        <f>F29+G29+H29+J29</f>
        <v>25950</v>
      </c>
      <c r="F29" s="375">
        <f>SUM(F11:F28)</f>
        <v>0</v>
      </c>
      <c r="G29" s="375">
        <f>SUM(G11:G28)</f>
        <v>17400</v>
      </c>
      <c r="H29" s="375">
        <f t="shared" ref="H29:J29" si="1">SUM(H11:H28)</f>
        <v>8550</v>
      </c>
      <c r="I29" s="375">
        <f t="shared" si="1"/>
        <v>6600</v>
      </c>
      <c r="J29" s="376">
        <f t="shared" si="1"/>
        <v>0</v>
      </c>
      <c r="K29" s="377"/>
      <c r="L29" s="359"/>
    </row>
    <row r="30" spans="1:12" ht="19.5" x14ac:dyDescent="0.3">
      <c r="A30" s="85" t="s">
        <v>12</v>
      </c>
      <c r="B30" s="368" t="s">
        <v>340</v>
      </c>
      <c r="C30" s="369"/>
      <c r="D30" s="369"/>
      <c r="E30" s="369"/>
      <c r="F30" s="369"/>
      <c r="G30" s="369"/>
      <c r="H30" s="369"/>
      <c r="I30" s="369"/>
      <c r="J30" s="369"/>
      <c r="K30" s="369"/>
      <c r="L30" s="370"/>
    </row>
    <row r="31" spans="1:12" ht="37.5" customHeight="1" thickBot="1" x14ac:dyDescent="0.35">
      <c r="A31" s="89"/>
      <c r="B31" s="131" t="s">
        <v>341</v>
      </c>
      <c r="C31" s="132"/>
      <c r="D31" s="132"/>
      <c r="E31" s="132"/>
      <c r="F31" s="132"/>
      <c r="G31" s="132"/>
      <c r="H31" s="132"/>
      <c r="I31" s="132"/>
      <c r="J31" s="132"/>
      <c r="K31" s="132"/>
      <c r="L31" s="133"/>
    </row>
    <row r="32" spans="1:12" ht="20.25" thickBot="1" x14ac:dyDescent="0.3">
      <c r="A32" s="93" t="s">
        <v>24</v>
      </c>
      <c r="B32" s="94"/>
      <c r="C32" s="94"/>
      <c r="D32" s="94"/>
      <c r="E32" s="94"/>
      <c r="F32" s="94"/>
      <c r="G32" s="94"/>
      <c r="H32" s="94"/>
      <c r="I32" s="94"/>
      <c r="J32" s="94"/>
      <c r="K32" s="94"/>
      <c r="L32" s="95"/>
    </row>
    <row r="33" spans="1:23" s="135" customFormat="1" ht="20.100000000000001" customHeight="1" x14ac:dyDescent="0.25">
      <c r="A33" s="36" t="s">
        <v>25</v>
      </c>
      <c r="B33" s="96" t="s">
        <v>27</v>
      </c>
      <c r="C33" s="134"/>
      <c r="D33" s="98">
        <v>2018</v>
      </c>
      <c r="E33" s="99">
        <f>F33+G33+H33+J33</f>
        <v>295.2</v>
      </c>
      <c r="F33" s="99">
        <v>0</v>
      </c>
      <c r="G33" s="99">
        <v>0</v>
      </c>
      <c r="H33" s="99">
        <v>295.2</v>
      </c>
      <c r="I33" s="99">
        <v>0</v>
      </c>
      <c r="J33" s="99">
        <v>0</v>
      </c>
      <c r="K33" s="100" t="s">
        <v>30</v>
      </c>
      <c r="L33" s="101" t="s">
        <v>31</v>
      </c>
      <c r="M33" s="55"/>
      <c r="N33" s="55"/>
      <c r="O33" s="55"/>
      <c r="P33" s="55"/>
      <c r="Q33" s="55"/>
      <c r="R33" s="55"/>
      <c r="S33" s="55"/>
      <c r="T33" s="55"/>
      <c r="U33" s="55"/>
      <c r="V33" s="55"/>
      <c r="W33" s="55"/>
    </row>
    <row r="34" spans="1:23" ht="20.100000000000001" customHeight="1" x14ac:dyDescent="0.25">
      <c r="A34" s="37"/>
      <c r="B34" s="102"/>
      <c r="C34" s="136"/>
      <c r="D34" s="104">
        <v>2019</v>
      </c>
      <c r="E34" s="105">
        <f>F34+G34+H34+J34</f>
        <v>180.4</v>
      </c>
      <c r="F34" s="105">
        <v>0</v>
      </c>
      <c r="G34" s="105">
        <v>0</v>
      </c>
      <c r="H34" s="105">
        <v>180.4</v>
      </c>
      <c r="I34" s="105">
        <v>0</v>
      </c>
      <c r="J34" s="105">
        <v>0</v>
      </c>
      <c r="K34" s="106"/>
      <c r="L34" s="107"/>
      <c r="M34" s="137"/>
    </row>
    <row r="35" spans="1:23" ht="20.100000000000001" customHeight="1" x14ac:dyDescent="0.25">
      <c r="A35" s="37"/>
      <c r="B35" s="102"/>
      <c r="C35" s="136"/>
      <c r="D35" s="108">
        <v>2020</v>
      </c>
      <c r="E35" s="105">
        <f t="shared" ref="E35:E50" si="2">F35+G35+H35+J35</f>
        <v>0</v>
      </c>
      <c r="F35" s="122">
        <v>0</v>
      </c>
      <c r="G35" s="105">
        <v>0</v>
      </c>
      <c r="H35" s="105">
        <v>0</v>
      </c>
      <c r="I35" s="105">
        <v>0</v>
      </c>
      <c r="J35" s="105">
        <v>0</v>
      </c>
      <c r="K35" s="106"/>
      <c r="L35" s="107"/>
    </row>
    <row r="36" spans="1:23" ht="20.100000000000001" customHeight="1" x14ac:dyDescent="0.25">
      <c r="A36" s="37"/>
      <c r="B36" s="102"/>
      <c r="C36" s="138"/>
      <c r="D36" s="108">
        <v>2021</v>
      </c>
      <c r="E36" s="105">
        <f t="shared" si="2"/>
        <v>0</v>
      </c>
      <c r="F36" s="122">
        <v>0</v>
      </c>
      <c r="G36" s="105">
        <v>0</v>
      </c>
      <c r="H36" s="105">
        <v>0</v>
      </c>
      <c r="I36" s="105">
        <v>0</v>
      </c>
      <c r="J36" s="105">
        <v>0</v>
      </c>
      <c r="K36" s="106"/>
      <c r="L36" s="107"/>
    </row>
    <row r="37" spans="1:23" ht="20.100000000000001" customHeight="1" x14ac:dyDescent="0.25">
      <c r="A37" s="37"/>
      <c r="B37" s="102"/>
      <c r="C37" s="138"/>
      <c r="D37" s="108">
        <v>2022</v>
      </c>
      <c r="E37" s="105">
        <f t="shared" si="2"/>
        <v>0</v>
      </c>
      <c r="F37" s="122">
        <v>0</v>
      </c>
      <c r="G37" s="105">
        <v>0</v>
      </c>
      <c r="H37" s="105">
        <v>0</v>
      </c>
      <c r="I37" s="105">
        <v>0</v>
      </c>
      <c r="J37" s="105">
        <v>0</v>
      </c>
      <c r="K37" s="106"/>
      <c r="L37" s="107"/>
    </row>
    <row r="38" spans="1:23" ht="20.100000000000001" customHeight="1" x14ac:dyDescent="0.25">
      <c r="A38" s="37"/>
      <c r="B38" s="102"/>
      <c r="C38" s="138"/>
      <c r="D38" s="108">
        <v>2023</v>
      </c>
      <c r="E38" s="105">
        <f t="shared" si="2"/>
        <v>0</v>
      </c>
      <c r="F38" s="122">
        <v>0</v>
      </c>
      <c r="G38" s="105">
        <v>0</v>
      </c>
      <c r="H38" s="105">
        <v>0</v>
      </c>
      <c r="I38" s="105">
        <v>0</v>
      </c>
      <c r="J38" s="105">
        <v>0</v>
      </c>
      <c r="K38" s="106"/>
      <c r="L38" s="107"/>
    </row>
    <row r="39" spans="1:23" ht="20.100000000000001" customHeight="1" x14ac:dyDescent="0.25">
      <c r="A39" s="37"/>
      <c r="B39" s="102"/>
      <c r="C39" s="138"/>
      <c r="D39" s="108">
        <v>2024</v>
      </c>
      <c r="E39" s="105">
        <f t="shared" si="2"/>
        <v>200</v>
      </c>
      <c r="F39" s="122">
        <v>0</v>
      </c>
      <c r="G39" s="105">
        <v>0</v>
      </c>
      <c r="H39" s="123">
        <v>200</v>
      </c>
      <c r="I39" s="105">
        <v>0</v>
      </c>
      <c r="J39" s="105">
        <v>0</v>
      </c>
      <c r="K39" s="106"/>
      <c r="L39" s="107"/>
    </row>
    <row r="40" spans="1:23" s="139" customFormat="1" ht="20.100000000000001" customHeight="1" thickBot="1" x14ac:dyDescent="0.3">
      <c r="A40" s="37"/>
      <c r="B40" s="102"/>
      <c r="C40" s="138"/>
      <c r="D40" s="108">
        <v>2025</v>
      </c>
      <c r="E40" s="105">
        <f t="shared" si="2"/>
        <v>200</v>
      </c>
      <c r="F40" s="122">
        <v>0</v>
      </c>
      <c r="G40" s="105">
        <v>0</v>
      </c>
      <c r="H40" s="123">
        <v>200</v>
      </c>
      <c r="I40" s="105">
        <v>0</v>
      </c>
      <c r="J40" s="105">
        <v>0</v>
      </c>
      <c r="K40" s="106"/>
      <c r="L40" s="107"/>
      <c r="M40" s="55"/>
      <c r="N40" s="55"/>
      <c r="O40" s="55"/>
    </row>
    <row r="41" spans="1:23" ht="20.100000000000001" customHeight="1" thickBot="1" x14ac:dyDescent="0.3">
      <c r="A41" s="34"/>
      <c r="B41" s="140"/>
      <c r="C41" s="141"/>
      <c r="D41" s="142">
        <v>2026</v>
      </c>
      <c r="E41" s="143">
        <f t="shared" si="2"/>
        <v>200</v>
      </c>
      <c r="F41" s="144">
        <v>0</v>
      </c>
      <c r="G41" s="143">
        <v>0</v>
      </c>
      <c r="H41" s="145">
        <v>200</v>
      </c>
      <c r="I41" s="143">
        <v>0</v>
      </c>
      <c r="J41" s="143">
        <v>0</v>
      </c>
      <c r="K41" s="146"/>
      <c r="L41" s="147"/>
    </row>
    <row r="42" spans="1:23" ht="20.100000000000001" customHeight="1" x14ac:dyDescent="0.25">
      <c r="A42" s="36" t="s">
        <v>26</v>
      </c>
      <c r="B42" s="96" t="s">
        <v>28</v>
      </c>
      <c r="C42" s="134"/>
      <c r="D42" s="98">
        <v>2018</v>
      </c>
      <c r="E42" s="99">
        <f t="shared" si="2"/>
        <v>245.1</v>
      </c>
      <c r="F42" s="99">
        <v>0</v>
      </c>
      <c r="G42" s="99">
        <v>0</v>
      </c>
      <c r="H42" s="99">
        <v>245.1</v>
      </c>
      <c r="I42" s="99">
        <v>0</v>
      </c>
      <c r="J42" s="99">
        <v>0</v>
      </c>
      <c r="K42" s="100" t="s">
        <v>29</v>
      </c>
      <c r="L42" s="101" t="s">
        <v>31</v>
      </c>
    </row>
    <row r="43" spans="1:23" ht="20.100000000000001" customHeight="1" x14ac:dyDescent="0.25">
      <c r="A43" s="37"/>
      <c r="B43" s="102"/>
      <c r="C43" s="136"/>
      <c r="D43" s="104">
        <v>2019</v>
      </c>
      <c r="E43" s="105">
        <f t="shared" si="2"/>
        <v>244.3</v>
      </c>
      <c r="F43" s="105">
        <v>0</v>
      </c>
      <c r="G43" s="105">
        <v>0</v>
      </c>
      <c r="H43" s="105">
        <v>244.3</v>
      </c>
      <c r="I43" s="105">
        <v>0</v>
      </c>
      <c r="J43" s="105">
        <v>0</v>
      </c>
      <c r="K43" s="106"/>
      <c r="L43" s="107"/>
    </row>
    <row r="44" spans="1:23" ht="20.100000000000001" customHeight="1" x14ac:dyDescent="0.25">
      <c r="A44" s="37"/>
      <c r="B44" s="102"/>
      <c r="C44" s="136"/>
      <c r="D44" s="108">
        <v>2020</v>
      </c>
      <c r="E44" s="105">
        <f t="shared" si="2"/>
        <v>0</v>
      </c>
      <c r="F44" s="122">
        <v>0</v>
      </c>
      <c r="G44" s="105">
        <v>0</v>
      </c>
      <c r="H44" s="105">
        <v>0</v>
      </c>
      <c r="I44" s="105">
        <v>0</v>
      </c>
      <c r="J44" s="105">
        <v>0</v>
      </c>
      <c r="K44" s="106"/>
      <c r="L44" s="107"/>
    </row>
    <row r="45" spans="1:23" ht="20.100000000000001" customHeight="1" x14ac:dyDescent="0.25">
      <c r="A45" s="37"/>
      <c r="B45" s="102"/>
      <c r="C45" s="138"/>
      <c r="D45" s="108">
        <v>2021</v>
      </c>
      <c r="E45" s="105">
        <f t="shared" si="2"/>
        <v>300</v>
      </c>
      <c r="F45" s="122">
        <v>0</v>
      </c>
      <c r="G45" s="105">
        <v>0</v>
      </c>
      <c r="H45" s="105">
        <v>300</v>
      </c>
      <c r="I45" s="105">
        <v>0</v>
      </c>
      <c r="J45" s="105">
        <v>0</v>
      </c>
      <c r="K45" s="106"/>
      <c r="L45" s="107"/>
    </row>
    <row r="46" spans="1:23" ht="20.100000000000001" customHeight="1" x14ac:dyDescent="0.25">
      <c r="A46" s="37"/>
      <c r="B46" s="102"/>
      <c r="C46" s="138"/>
      <c r="D46" s="108">
        <v>2022</v>
      </c>
      <c r="E46" s="105">
        <f t="shared" si="2"/>
        <v>300</v>
      </c>
      <c r="F46" s="122">
        <v>0</v>
      </c>
      <c r="G46" s="105">
        <v>0</v>
      </c>
      <c r="H46" s="105">
        <v>300</v>
      </c>
      <c r="I46" s="105">
        <v>0</v>
      </c>
      <c r="J46" s="105">
        <v>0</v>
      </c>
      <c r="K46" s="106"/>
      <c r="L46" s="107"/>
    </row>
    <row r="47" spans="1:23" ht="20.100000000000001" customHeight="1" x14ac:dyDescent="0.25">
      <c r="A47" s="37"/>
      <c r="B47" s="102"/>
      <c r="C47" s="138"/>
      <c r="D47" s="108">
        <v>2023</v>
      </c>
      <c r="E47" s="105">
        <f t="shared" si="2"/>
        <v>188</v>
      </c>
      <c r="F47" s="122">
        <v>0</v>
      </c>
      <c r="G47" s="105">
        <v>0</v>
      </c>
      <c r="H47" s="105">
        <f>200-6.3-5.7</f>
        <v>188</v>
      </c>
      <c r="I47" s="105">
        <v>0</v>
      </c>
      <c r="J47" s="105">
        <v>0</v>
      </c>
      <c r="K47" s="106"/>
      <c r="L47" s="107"/>
    </row>
    <row r="48" spans="1:23" ht="20.100000000000001" customHeight="1" x14ac:dyDescent="0.25">
      <c r="A48" s="37"/>
      <c r="B48" s="102"/>
      <c r="C48" s="138"/>
      <c r="D48" s="108">
        <v>2024</v>
      </c>
      <c r="E48" s="105">
        <f t="shared" si="2"/>
        <v>400</v>
      </c>
      <c r="F48" s="122">
        <v>0</v>
      </c>
      <c r="G48" s="105">
        <v>0</v>
      </c>
      <c r="H48" s="123">
        <v>400</v>
      </c>
      <c r="I48" s="105">
        <v>0</v>
      </c>
      <c r="J48" s="105">
        <v>0</v>
      </c>
      <c r="K48" s="106"/>
      <c r="L48" s="107"/>
    </row>
    <row r="49" spans="1:12" ht="20.100000000000001" customHeight="1" x14ac:dyDescent="0.25">
      <c r="A49" s="37"/>
      <c r="B49" s="102"/>
      <c r="C49" s="138"/>
      <c r="D49" s="108">
        <v>2025</v>
      </c>
      <c r="E49" s="105">
        <f t="shared" si="2"/>
        <v>400</v>
      </c>
      <c r="F49" s="122">
        <v>0</v>
      </c>
      <c r="G49" s="105">
        <v>0</v>
      </c>
      <c r="H49" s="123">
        <v>400</v>
      </c>
      <c r="I49" s="105">
        <v>0</v>
      </c>
      <c r="J49" s="105">
        <v>0</v>
      </c>
      <c r="K49" s="106"/>
      <c r="L49" s="107"/>
    </row>
    <row r="50" spans="1:12" ht="20.100000000000001" customHeight="1" thickBot="1" x14ac:dyDescent="0.3">
      <c r="A50" s="38"/>
      <c r="B50" s="110"/>
      <c r="C50" s="148"/>
      <c r="D50" s="124">
        <v>2026</v>
      </c>
      <c r="E50" s="113">
        <f t="shared" si="2"/>
        <v>400</v>
      </c>
      <c r="F50" s="125">
        <v>0</v>
      </c>
      <c r="G50" s="113">
        <v>0</v>
      </c>
      <c r="H50" s="126">
        <v>400</v>
      </c>
      <c r="I50" s="113">
        <v>0</v>
      </c>
      <c r="J50" s="113">
        <v>0</v>
      </c>
      <c r="K50" s="114"/>
      <c r="L50" s="115"/>
    </row>
    <row r="51" spans="1:12" s="157" customFormat="1" ht="20.100000000000001" customHeight="1" thickBot="1" x14ac:dyDescent="0.35">
      <c r="A51" s="149"/>
      <c r="B51" s="150"/>
      <c r="C51" s="151"/>
      <c r="D51" s="152" t="s">
        <v>8</v>
      </c>
      <c r="E51" s="153">
        <f>SUM(F51:J51)</f>
        <v>3553</v>
      </c>
      <c r="F51" s="153">
        <f>F33+F34+F35+F36+F37+F38+F39+F40+F42+F43+F44+F45+F46+F47+F48+F49+F41+F50</f>
        <v>0</v>
      </c>
      <c r="G51" s="153">
        <f>G33+G34+G35+G36+G37+G38+G39+G40+G42+G43+G44+G45+G46+G47+G48+G49+G41+G50</f>
        <v>0</v>
      </c>
      <c r="H51" s="153">
        <f>H33+H34+H35+H36+H37+H38+H39+H40+H42+H43+H44+H45+H46+H47+H48+H49+H41+H50</f>
        <v>3553</v>
      </c>
      <c r="I51" s="153">
        <f>I33+I34+I35+I36+I37+I38+I39+I40+I42+I43+I44+I45+I46+I47+I48+I49+I41+I50</f>
        <v>0</v>
      </c>
      <c r="J51" s="154">
        <f>J33+J34+J35+J36+J37+J38+J39+J40+J42+J43+J44+J45+J46+J47+J48+J49+J41+J50</f>
        <v>0</v>
      </c>
      <c r="K51" s="155"/>
      <c r="L51" s="156"/>
    </row>
    <row r="52" spans="1:12" ht="36.75" customHeight="1" x14ac:dyDescent="0.3">
      <c r="A52" s="127" t="s">
        <v>32</v>
      </c>
      <c r="B52" s="128" t="s">
        <v>342</v>
      </c>
      <c r="C52" s="129"/>
      <c r="D52" s="129"/>
      <c r="E52" s="129"/>
      <c r="F52" s="129"/>
      <c r="G52" s="129"/>
      <c r="H52" s="129"/>
      <c r="I52" s="129"/>
      <c r="J52" s="129"/>
      <c r="K52" s="129"/>
      <c r="L52" s="130"/>
    </row>
    <row r="53" spans="1:12" ht="20.25" thickBot="1" x14ac:dyDescent="0.35">
      <c r="A53" s="89"/>
      <c r="B53" s="90" t="s">
        <v>343</v>
      </c>
      <c r="C53" s="91"/>
      <c r="D53" s="91"/>
      <c r="E53" s="91"/>
      <c r="F53" s="91"/>
      <c r="G53" s="91"/>
      <c r="H53" s="91"/>
      <c r="I53" s="91"/>
      <c r="J53" s="91"/>
      <c r="K53" s="91"/>
      <c r="L53" s="92"/>
    </row>
    <row r="54" spans="1:12" ht="30.75" customHeight="1" thickBot="1" x14ac:dyDescent="0.3">
      <c r="A54" s="158" t="s">
        <v>335</v>
      </c>
      <c r="B54" s="159"/>
      <c r="C54" s="159"/>
      <c r="D54" s="159"/>
      <c r="E54" s="159"/>
      <c r="F54" s="159"/>
      <c r="G54" s="159"/>
      <c r="H54" s="159"/>
      <c r="I54" s="159"/>
      <c r="J54" s="159"/>
      <c r="K54" s="159"/>
      <c r="L54" s="160"/>
    </row>
    <row r="55" spans="1:12" ht="20.100000000000001" customHeight="1" x14ac:dyDescent="0.25">
      <c r="A55" s="16" t="s">
        <v>34</v>
      </c>
      <c r="B55" s="161" t="s">
        <v>33</v>
      </c>
      <c r="C55" s="134"/>
      <c r="D55" s="98">
        <v>2018</v>
      </c>
      <c r="E55" s="99">
        <f>F55+G55+H55+J55</f>
        <v>110.4</v>
      </c>
      <c r="F55" s="99">
        <v>0</v>
      </c>
      <c r="G55" s="99">
        <v>0</v>
      </c>
      <c r="H55" s="99">
        <v>110.4</v>
      </c>
      <c r="I55" s="99">
        <v>0</v>
      </c>
      <c r="J55" s="99">
        <v>0</v>
      </c>
      <c r="K55" s="162" t="s">
        <v>35</v>
      </c>
      <c r="L55" s="163" t="s">
        <v>31</v>
      </c>
    </row>
    <row r="56" spans="1:12" ht="20.100000000000001" customHeight="1" x14ac:dyDescent="0.25">
      <c r="A56" s="17"/>
      <c r="B56" s="164"/>
      <c r="C56" s="136"/>
      <c r="D56" s="104">
        <v>2019</v>
      </c>
      <c r="E56" s="105">
        <f t="shared" ref="E56:E63" si="3">F56+G56+H56+J56</f>
        <v>110.4</v>
      </c>
      <c r="F56" s="105">
        <v>0</v>
      </c>
      <c r="G56" s="105">
        <v>0</v>
      </c>
      <c r="H56" s="105">
        <v>110.4</v>
      </c>
      <c r="I56" s="105">
        <v>0</v>
      </c>
      <c r="J56" s="105">
        <v>0</v>
      </c>
      <c r="K56" s="165"/>
      <c r="L56" s="166"/>
    </row>
    <row r="57" spans="1:12" ht="20.100000000000001" customHeight="1" x14ac:dyDescent="0.25">
      <c r="A57" s="17"/>
      <c r="B57" s="164"/>
      <c r="C57" s="136"/>
      <c r="D57" s="108">
        <v>2020</v>
      </c>
      <c r="E57" s="105">
        <f t="shared" si="3"/>
        <v>110.4</v>
      </c>
      <c r="F57" s="122">
        <v>0</v>
      </c>
      <c r="G57" s="105">
        <v>0</v>
      </c>
      <c r="H57" s="105">
        <v>110.4</v>
      </c>
      <c r="I57" s="105">
        <v>0</v>
      </c>
      <c r="J57" s="105">
        <v>0</v>
      </c>
      <c r="K57" s="165"/>
      <c r="L57" s="166"/>
    </row>
    <row r="58" spans="1:12" ht="20.100000000000001" customHeight="1" x14ac:dyDescent="0.25">
      <c r="A58" s="17"/>
      <c r="B58" s="164"/>
      <c r="C58" s="138"/>
      <c r="D58" s="108">
        <v>2021</v>
      </c>
      <c r="E58" s="105">
        <f t="shared" si="3"/>
        <v>110.4</v>
      </c>
      <c r="F58" s="122">
        <v>0</v>
      </c>
      <c r="G58" s="105">
        <v>0</v>
      </c>
      <c r="H58" s="105">
        <v>110.4</v>
      </c>
      <c r="I58" s="105">
        <v>0</v>
      </c>
      <c r="J58" s="105">
        <v>0</v>
      </c>
      <c r="K58" s="165"/>
      <c r="L58" s="166"/>
    </row>
    <row r="59" spans="1:12" ht="20.100000000000001" customHeight="1" x14ac:dyDescent="0.25">
      <c r="A59" s="17"/>
      <c r="B59" s="164"/>
      <c r="C59" s="138"/>
      <c r="D59" s="108">
        <v>2022</v>
      </c>
      <c r="E59" s="105">
        <f t="shared" si="3"/>
        <v>110.4</v>
      </c>
      <c r="F59" s="122">
        <v>0</v>
      </c>
      <c r="G59" s="105">
        <v>0</v>
      </c>
      <c r="H59" s="105">
        <v>110.4</v>
      </c>
      <c r="I59" s="105">
        <v>0</v>
      </c>
      <c r="J59" s="105">
        <v>0</v>
      </c>
      <c r="K59" s="165"/>
      <c r="L59" s="166"/>
    </row>
    <row r="60" spans="1:12" ht="20.100000000000001" customHeight="1" x14ac:dyDescent="0.25">
      <c r="A60" s="17"/>
      <c r="B60" s="164"/>
      <c r="C60" s="138"/>
      <c r="D60" s="108">
        <v>2023</v>
      </c>
      <c r="E60" s="105">
        <f t="shared" si="3"/>
        <v>200</v>
      </c>
      <c r="F60" s="122">
        <v>0</v>
      </c>
      <c r="G60" s="105">
        <v>0</v>
      </c>
      <c r="H60" s="105">
        <v>200</v>
      </c>
      <c r="I60" s="105">
        <v>0</v>
      </c>
      <c r="J60" s="105">
        <v>0</v>
      </c>
      <c r="K60" s="165"/>
      <c r="L60" s="166"/>
    </row>
    <row r="61" spans="1:12" ht="20.100000000000001" customHeight="1" x14ac:dyDescent="0.25">
      <c r="A61" s="17"/>
      <c r="B61" s="164"/>
      <c r="C61" s="138"/>
      <c r="D61" s="108">
        <v>2024</v>
      </c>
      <c r="E61" s="105">
        <f t="shared" si="3"/>
        <v>200</v>
      </c>
      <c r="F61" s="122">
        <v>0</v>
      </c>
      <c r="G61" s="105">
        <v>0</v>
      </c>
      <c r="H61" s="123">
        <v>200</v>
      </c>
      <c r="I61" s="105">
        <v>0</v>
      </c>
      <c r="J61" s="105">
        <v>0</v>
      </c>
      <c r="K61" s="165"/>
      <c r="L61" s="166"/>
    </row>
    <row r="62" spans="1:12" ht="20.100000000000001" customHeight="1" x14ac:dyDescent="0.25">
      <c r="A62" s="17"/>
      <c r="B62" s="164"/>
      <c r="C62" s="138"/>
      <c r="D62" s="108">
        <v>2025</v>
      </c>
      <c r="E62" s="105">
        <f t="shared" si="3"/>
        <v>200</v>
      </c>
      <c r="F62" s="122">
        <v>0</v>
      </c>
      <c r="G62" s="105">
        <v>0</v>
      </c>
      <c r="H62" s="123">
        <v>200</v>
      </c>
      <c r="I62" s="105">
        <v>0</v>
      </c>
      <c r="J62" s="105">
        <v>0</v>
      </c>
      <c r="K62" s="165"/>
      <c r="L62" s="166"/>
    </row>
    <row r="63" spans="1:12" ht="20.100000000000001" customHeight="1" thickBot="1" x14ac:dyDescent="0.3">
      <c r="A63" s="18"/>
      <c r="B63" s="167"/>
      <c r="C63" s="148"/>
      <c r="D63" s="124">
        <v>2026</v>
      </c>
      <c r="E63" s="113">
        <f t="shared" si="3"/>
        <v>200</v>
      </c>
      <c r="F63" s="125">
        <v>0</v>
      </c>
      <c r="G63" s="113">
        <v>0</v>
      </c>
      <c r="H63" s="126">
        <v>200</v>
      </c>
      <c r="I63" s="113">
        <v>0</v>
      </c>
      <c r="J63" s="113">
        <v>0</v>
      </c>
      <c r="K63" s="168"/>
      <c r="L63" s="169"/>
    </row>
    <row r="64" spans="1:12" ht="20.100000000000001" customHeight="1" thickBot="1" x14ac:dyDescent="0.35">
      <c r="A64" s="170"/>
      <c r="B64" s="171"/>
      <c r="C64" s="172"/>
      <c r="D64" s="173" t="s">
        <v>8</v>
      </c>
      <c r="E64" s="174">
        <f>F64+G64+H64+I64+J64</f>
        <v>1352</v>
      </c>
      <c r="F64" s="174">
        <f>F55+F56+F57+F58+F59+F60+F61+F62+F63</f>
        <v>0</v>
      </c>
      <c r="G64" s="174">
        <f>G55+G56+G57+G58+G59+G60+G61+G62+G63</f>
        <v>0</v>
      </c>
      <c r="H64" s="174">
        <f>H55+H56+H57+H58+H59+H60+H61+H62+H63</f>
        <v>1352</v>
      </c>
      <c r="I64" s="174">
        <f>I55+I56+I57+I58+I59+I60+I61+I62+I63</f>
        <v>0</v>
      </c>
      <c r="J64" s="175">
        <f>J55+J56+J57+J58+J59+J60+J61+J62+J63</f>
        <v>0</v>
      </c>
      <c r="K64" s="176"/>
      <c r="L64" s="177"/>
    </row>
    <row r="65" spans="1:12" ht="36" customHeight="1" x14ac:dyDescent="0.3">
      <c r="A65" s="127" t="s">
        <v>36</v>
      </c>
      <c r="B65" s="128" t="s">
        <v>336</v>
      </c>
      <c r="C65" s="129"/>
      <c r="D65" s="129"/>
      <c r="E65" s="129"/>
      <c r="F65" s="129"/>
      <c r="G65" s="129"/>
      <c r="H65" s="129"/>
      <c r="I65" s="129"/>
      <c r="J65" s="129"/>
      <c r="K65" s="129"/>
      <c r="L65" s="130"/>
    </row>
    <row r="66" spans="1:12" ht="37.5" customHeight="1" thickBot="1" x14ac:dyDescent="0.35">
      <c r="A66" s="89"/>
      <c r="B66" s="131" t="s">
        <v>337</v>
      </c>
      <c r="C66" s="132"/>
      <c r="D66" s="132"/>
      <c r="E66" s="132"/>
      <c r="F66" s="132"/>
      <c r="G66" s="132"/>
      <c r="H66" s="132"/>
      <c r="I66" s="132"/>
      <c r="J66" s="132"/>
      <c r="K66" s="132"/>
      <c r="L66" s="133"/>
    </row>
    <row r="67" spans="1:12" s="178" customFormat="1" ht="26.25" customHeight="1" thickBot="1" x14ac:dyDescent="0.3">
      <c r="A67" s="158" t="s">
        <v>37</v>
      </c>
      <c r="B67" s="159"/>
      <c r="C67" s="159"/>
      <c r="D67" s="159"/>
      <c r="E67" s="159"/>
      <c r="F67" s="159"/>
      <c r="G67" s="159"/>
      <c r="H67" s="159"/>
      <c r="I67" s="159"/>
      <c r="J67" s="159"/>
      <c r="K67" s="159"/>
      <c r="L67" s="160"/>
    </row>
    <row r="68" spans="1:12" ht="21" customHeight="1" x14ac:dyDescent="0.25">
      <c r="A68" s="321" t="s">
        <v>38</v>
      </c>
      <c r="B68" s="179" t="s">
        <v>39</v>
      </c>
      <c r="C68" s="134"/>
      <c r="D68" s="98">
        <v>2018</v>
      </c>
      <c r="E68" s="99">
        <f>F68+G68+H68+J68</f>
        <v>395684.1</v>
      </c>
      <c r="F68" s="99">
        <v>0</v>
      </c>
      <c r="G68" s="99">
        <f>G77</f>
        <v>306118.7</v>
      </c>
      <c r="H68" s="99">
        <f>H77+H95+H104+H113+H122</f>
        <v>89565.4</v>
      </c>
      <c r="I68" s="99">
        <v>0</v>
      </c>
      <c r="J68" s="99">
        <v>0</v>
      </c>
      <c r="K68" s="162" t="s">
        <v>44</v>
      </c>
      <c r="L68" s="163" t="s">
        <v>31</v>
      </c>
    </row>
    <row r="69" spans="1:12" ht="21" customHeight="1" x14ac:dyDescent="0.25">
      <c r="A69" s="322"/>
      <c r="B69" s="180"/>
      <c r="C69" s="136">
        <v>0</v>
      </c>
      <c r="D69" s="104">
        <v>2019</v>
      </c>
      <c r="E69" s="105">
        <f t="shared" ref="E69:E167" si="4">F69+G69+H69+J69</f>
        <v>411887.9</v>
      </c>
      <c r="F69" s="105">
        <v>0</v>
      </c>
      <c r="G69" s="105">
        <f t="shared" ref="G69:G72" si="5">G78</f>
        <v>318164</v>
      </c>
      <c r="H69" s="105">
        <f>H78+H96+H105+H114+H123</f>
        <v>93723.900000000009</v>
      </c>
      <c r="I69" s="105">
        <v>0</v>
      </c>
      <c r="J69" s="105">
        <v>0</v>
      </c>
      <c r="K69" s="165"/>
      <c r="L69" s="166"/>
    </row>
    <row r="70" spans="1:12" ht="21" customHeight="1" x14ac:dyDescent="0.25">
      <c r="A70" s="322"/>
      <c r="B70" s="180"/>
      <c r="C70" s="136">
        <v>0</v>
      </c>
      <c r="D70" s="108">
        <v>2020</v>
      </c>
      <c r="E70" s="105">
        <f t="shared" si="4"/>
        <v>421625.8</v>
      </c>
      <c r="F70" s="122">
        <v>0</v>
      </c>
      <c r="G70" s="105">
        <f t="shared" si="5"/>
        <v>330071.5</v>
      </c>
      <c r="H70" s="105">
        <f>H79+H97+H106+H115+H124</f>
        <v>91554.3</v>
      </c>
      <c r="I70" s="105">
        <v>0</v>
      </c>
      <c r="J70" s="105">
        <v>0</v>
      </c>
      <c r="K70" s="165"/>
      <c r="L70" s="166"/>
    </row>
    <row r="71" spans="1:12" ht="21" customHeight="1" x14ac:dyDescent="0.25">
      <c r="A71" s="322"/>
      <c r="B71" s="180"/>
      <c r="C71" s="138">
        <v>0</v>
      </c>
      <c r="D71" s="108">
        <v>2021</v>
      </c>
      <c r="E71" s="105">
        <f t="shared" si="4"/>
        <v>445861.7</v>
      </c>
      <c r="F71" s="122">
        <v>0</v>
      </c>
      <c r="G71" s="105">
        <f t="shared" si="5"/>
        <v>338734.3</v>
      </c>
      <c r="H71" s="105">
        <f>H80+H98+H107+H116+H125</f>
        <v>107127.40000000001</v>
      </c>
      <c r="I71" s="105">
        <v>0</v>
      </c>
      <c r="J71" s="105">
        <v>0</v>
      </c>
      <c r="K71" s="165"/>
      <c r="L71" s="166"/>
    </row>
    <row r="72" spans="1:12" ht="21" customHeight="1" x14ac:dyDescent="0.25">
      <c r="A72" s="322"/>
      <c r="B72" s="180"/>
      <c r="C72" s="138">
        <v>0</v>
      </c>
      <c r="D72" s="108">
        <v>2022</v>
      </c>
      <c r="E72" s="105">
        <f t="shared" si="4"/>
        <v>497322</v>
      </c>
      <c r="F72" s="122">
        <v>0</v>
      </c>
      <c r="G72" s="105">
        <f t="shared" si="5"/>
        <v>371198.8</v>
      </c>
      <c r="H72" s="105">
        <f>H81+H99+H108+H117+H126</f>
        <v>126123.2</v>
      </c>
      <c r="I72" s="105">
        <v>0</v>
      </c>
      <c r="J72" s="105">
        <v>0</v>
      </c>
      <c r="K72" s="165"/>
      <c r="L72" s="166"/>
    </row>
    <row r="73" spans="1:12" ht="21" customHeight="1" x14ac:dyDescent="0.25">
      <c r="A73" s="322"/>
      <c r="B73" s="180"/>
      <c r="C73" s="138">
        <v>0</v>
      </c>
      <c r="D73" s="108">
        <v>2023</v>
      </c>
      <c r="E73" s="105">
        <f t="shared" si="4"/>
        <v>535884.30000000005</v>
      </c>
      <c r="F73" s="122">
        <v>0</v>
      </c>
      <c r="G73" s="105">
        <f>G82+G91</f>
        <v>407477.7</v>
      </c>
      <c r="H73" s="105">
        <f>H82+H91+H100+H109+H118+H127</f>
        <v>128406.60000000002</v>
      </c>
      <c r="I73" s="105">
        <v>0</v>
      </c>
      <c r="J73" s="105">
        <v>0</v>
      </c>
      <c r="K73" s="165"/>
      <c r="L73" s="166"/>
    </row>
    <row r="74" spans="1:12" ht="21" customHeight="1" x14ac:dyDescent="0.25">
      <c r="A74" s="322"/>
      <c r="B74" s="180"/>
      <c r="C74" s="138">
        <v>0</v>
      </c>
      <c r="D74" s="108">
        <v>2024</v>
      </c>
      <c r="E74" s="105">
        <f t="shared" si="4"/>
        <v>630127.20000000007</v>
      </c>
      <c r="F74" s="122">
        <v>0</v>
      </c>
      <c r="G74" s="105">
        <f>G83+G92</f>
        <v>484200.70000000007</v>
      </c>
      <c r="H74" s="105">
        <f>H83+H101+H110+H119+H128+H92</f>
        <v>145926.5</v>
      </c>
      <c r="I74" s="105">
        <v>0</v>
      </c>
      <c r="J74" s="105">
        <v>0</v>
      </c>
      <c r="K74" s="165"/>
      <c r="L74" s="166"/>
    </row>
    <row r="75" spans="1:12" ht="21" customHeight="1" x14ac:dyDescent="0.25">
      <c r="A75" s="322"/>
      <c r="B75" s="180"/>
      <c r="C75" s="138">
        <v>0</v>
      </c>
      <c r="D75" s="108">
        <v>2025</v>
      </c>
      <c r="E75" s="105">
        <f t="shared" si="4"/>
        <v>611182</v>
      </c>
      <c r="F75" s="122">
        <v>0</v>
      </c>
      <c r="G75" s="105">
        <f>G84+G93</f>
        <v>465831.4</v>
      </c>
      <c r="H75" s="105">
        <f>H84+H102+H111+H120+H129+H93</f>
        <v>145350.6</v>
      </c>
      <c r="I75" s="105">
        <v>0</v>
      </c>
      <c r="J75" s="105">
        <v>0</v>
      </c>
      <c r="K75" s="165"/>
      <c r="L75" s="166"/>
    </row>
    <row r="76" spans="1:12" ht="21" customHeight="1" x14ac:dyDescent="0.25">
      <c r="A76" s="322"/>
      <c r="B76" s="180"/>
      <c r="C76" s="138"/>
      <c r="D76" s="181">
        <v>2026</v>
      </c>
      <c r="E76" s="105">
        <f t="shared" si="4"/>
        <v>649768.80000000005</v>
      </c>
      <c r="F76" s="122">
        <v>0</v>
      </c>
      <c r="G76" s="105">
        <f>G85+G94</f>
        <v>492203</v>
      </c>
      <c r="H76" s="105">
        <f>H85+H103+H112+H121+H130+H94</f>
        <v>157565.80000000002</v>
      </c>
      <c r="I76" s="105">
        <v>0</v>
      </c>
      <c r="J76" s="105">
        <v>0</v>
      </c>
      <c r="K76" s="165"/>
      <c r="L76" s="166"/>
    </row>
    <row r="77" spans="1:12" ht="21" customHeight="1" x14ac:dyDescent="0.25">
      <c r="A77" s="322"/>
      <c r="B77" s="180" t="s">
        <v>40</v>
      </c>
      <c r="C77" s="136">
        <v>0</v>
      </c>
      <c r="D77" s="104">
        <v>2018</v>
      </c>
      <c r="E77" s="105">
        <f>F77+G77+H77+J77</f>
        <v>387008.2</v>
      </c>
      <c r="F77" s="105">
        <v>0</v>
      </c>
      <c r="G77" s="105">
        <v>306118.7</v>
      </c>
      <c r="H77" s="105">
        <v>80889.5</v>
      </c>
      <c r="I77" s="105">
        <v>0</v>
      </c>
      <c r="J77" s="105">
        <v>0</v>
      </c>
      <c r="K77" s="165"/>
      <c r="L77" s="166"/>
    </row>
    <row r="78" spans="1:12" ht="21" customHeight="1" x14ac:dyDescent="0.25">
      <c r="A78" s="322"/>
      <c r="B78" s="180"/>
      <c r="C78" s="136">
        <v>0</v>
      </c>
      <c r="D78" s="104">
        <v>2019</v>
      </c>
      <c r="E78" s="105">
        <f t="shared" si="4"/>
        <v>404942.1</v>
      </c>
      <c r="F78" s="105">
        <v>0</v>
      </c>
      <c r="G78" s="105">
        <v>318164</v>
      </c>
      <c r="H78" s="105">
        <v>86778.1</v>
      </c>
      <c r="I78" s="105">
        <v>0</v>
      </c>
      <c r="J78" s="105">
        <v>0</v>
      </c>
      <c r="K78" s="165"/>
      <c r="L78" s="166"/>
    </row>
    <row r="79" spans="1:12" ht="21" customHeight="1" x14ac:dyDescent="0.25">
      <c r="A79" s="322"/>
      <c r="B79" s="180"/>
      <c r="C79" s="136">
        <v>0</v>
      </c>
      <c r="D79" s="108">
        <v>2020</v>
      </c>
      <c r="E79" s="105">
        <f t="shared" si="4"/>
        <v>416470.1</v>
      </c>
      <c r="F79" s="122">
        <v>0</v>
      </c>
      <c r="G79" s="105">
        <v>330071.5</v>
      </c>
      <c r="H79" s="105">
        <v>86398.6</v>
      </c>
      <c r="I79" s="105">
        <v>0</v>
      </c>
      <c r="J79" s="105">
        <v>0</v>
      </c>
      <c r="K79" s="165"/>
      <c r="L79" s="166"/>
    </row>
    <row r="80" spans="1:12" ht="21" customHeight="1" x14ac:dyDescent="0.25">
      <c r="A80" s="322"/>
      <c r="B80" s="180"/>
      <c r="C80" s="138">
        <v>0</v>
      </c>
      <c r="D80" s="108">
        <v>2021</v>
      </c>
      <c r="E80" s="105">
        <f t="shared" si="4"/>
        <v>445547.6</v>
      </c>
      <c r="F80" s="122">
        <v>0</v>
      </c>
      <c r="G80" s="105">
        <v>338734.3</v>
      </c>
      <c r="H80" s="105">
        <v>106813.3</v>
      </c>
      <c r="I80" s="105">
        <v>0</v>
      </c>
      <c r="J80" s="105">
        <v>0</v>
      </c>
      <c r="K80" s="165"/>
      <c r="L80" s="166"/>
    </row>
    <row r="81" spans="1:12" ht="21" customHeight="1" x14ac:dyDescent="0.25">
      <c r="A81" s="322"/>
      <c r="B81" s="180"/>
      <c r="C81" s="138">
        <v>0</v>
      </c>
      <c r="D81" s="108">
        <v>2022</v>
      </c>
      <c r="E81" s="105">
        <f t="shared" si="4"/>
        <v>495773.5</v>
      </c>
      <c r="F81" s="122">
        <v>0</v>
      </c>
      <c r="G81" s="105">
        <f>342193.5+28654.5+350.8</f>
        <v>371198.8</v>
      </c>
      <c r="H81" s="105">
        <f>122626.7+671.6+1747-48.5+130-1197.5+645.4</f>
        <v>124574.7</v>
      </c>
      <c r="I81" s="105">
        <v>0</v>
      </c>
      <c r="J81" s="105">
        <v>0</v>
      </c>
      <c r="K81" s="165"/>
      <c r="L81" s="166"/>
    </row>
    <row r="82" spans="1:12" ht="21" customHeight="1" x14ac:dyDescent="0.25">
      <c r="A82" s="322"/>
      <c r="B82" s="180"/>
      <c r="C82" s="138">
        <v>0</v>
      </c>
      <c r="D82" s="108">
        <v>2023</v>
      </c>
      <c r="E82" s="105">
        <f t="shared" si="4"/>
        <v>487172.60000000003</v>
      </c>
      <c r="F82" s="122">
        <v>0</v>
      </c>
      <c r="G82" s="105">
        <f>343740.2+1956-29.3+4532.8+8793.3</f>
        <v>358993</v>
      </c>
      <c r="H82" s="105">
        <f>119761.6+505.8+1373.5+416+171.6+376.9+4711.6+53.8+120.6+862.4+212-386.2</f>
        <v>128179.60000000002</v>
      </c>
      <c r="I82" s="105">
        <v>0</v>
      </c>
      <c r="J82" s="105">
        <v>0</v>
      </c>
      <c r="K82" s="165"/>
      <c r="L82" s="166"/>
    </row>
    <row r="83" spans="1:12" ht="21" customHeight="1" x14ac:dyDescent="0.25">
      <c r="A83" s="322"/>
      <c r="B83" s="180"/>
      <c r="C83" s="138">
        <v>0</v>
      </c>
      <c r="D83" s="108">
        <v>2024</v>
      </c>
      <c r="E83" s="105">
        <f t="shared" si="4"/>
        <v>572633.50000000012</v>
      </c>
      <c r="F83" s="122">
        <v>0</v>
      </c>
      <c r="G83" s="123">
        <f>424812.5-G92+307.2-211.6+34332.2+24960.4</f>
        <v>426923.10000000009</v>
      </c>
      <c r="H83" s="123">
        <f>145710.4</f>
        <v>145710.39999999999</v>
      </c>
      <c r="I83" s="105">
        <v>0</v>
      </c>
      <c r="J83" s="105">
        <v>0</v>
      </c>
      <c r="K83" s="165"/>
      <c r="L83" s="166"/>
    </row>
    <row r="84" spans="1:12" ht="21" customHeight="1" x14ac:dyDescent="0.25">
      <c r="A84" s="322"/>
      <c r="B84" s="180"/>
      <c r="C84" s="138">
        <v>0</v>
      </c>
      <c r="D84" s="108">
        <v>2025</v>
      </c>
      <c r="E84" s="105">
        <f t="shared" si="4"/>
        <v>553813.30000000005</v>
      </c>
      <c r="F84" s="122">
        <v>0</v>
      </c>
      <c r="G84" s="123">
        <f>457155.7-G93+102.8+8572.9</f>
        <v>408553.80000000005</v>
      </c>
      <c r="H84" s="123">
        <v>145259.5</v>
      </c>
      <c r="I84" s="105">
        <v>0</v>
      </c>
      <c r="J84" s="105">
        <v>0</v>
      </c>
      <c r="K84" s="165"/>
      <c r="L84" s="166"/>
    </row>
    <row r="85" spans="1:12" ht="21" customHeight="1" x14ac:dyDescent="0.25">
      <c r="A85" s="322"/>
      <c r="B85" s="180"/>
      <c r="C85" s="138"/>
      <c r="D85" s="181">
        <v>2026</v>
      </c>
      <c r="E85" s="105">
        <f t="shared" si="4"/>
        <v>592400.10000000009</v>
      </c>
      <c r="F85" s="122">
        <v>0</v>
      </c>
      <c r="G85" s="123">
        <f>483878.3-G94+108.8+8215.9</f>
        <v>434925.4</v>
      </c>
      <c r="H85" s="123">
        <v>157474.70000000001</v>
      </c>
      <c r="I85" s="105">
        <v>0</v>
      </c>
      <c r="J85" s="105">
        <v>0</v>
      </c>
      <c r="K85" s="165"/>
      <c r="L85" s="166"/>
    </row>
    <row r="86" spans="1:12" ht="21" customHeight="1" x14ac:dyDescent="0.25">
      <c r="A86" s="322"/>
      <c r="B86" s="180" t="s">
        <v>194</v>
      </c>
      <c r="C86" s="136">
        <v>0</v>
      </c>
      <c r="D86" s="104">
        <v>2018</v>
      </c>
      <c r="E86" s="105">
        <f t="shared" si="4"/>
        <v>0</v>
      </c>
      <c r="F86" s="105">
        <v>0</v>
      </c>
      <c r="G86" s="105">
        <v>0</v>
      </c>
      <c r="H86" s="105">
        <v>0</v>
      </c>
      <c r="I86" s="105">
        <v>0</v>
      </c>
      <c r="J86" s="105">
        <v>0</v>
      </c>
      <c r="K86" s="165"/>
      <c r="L86" s="166"/>
    </row>
    <row r="87" spans="1:12" ht="21" customHeight="1" x14ac:dyDescent="0.25">
      <c r="A87" s="322"/>
      <c r="B87" s="180"/>
      <c r="C87" s="136">
        <v>0</v>
      </c>
      <c r="D87" s="104">
        <v>2019</v>
      </c>
      <c r="E87" s="105">
        <f t="shared" si="4"/>
        <v>0</v>
      </c>
      <c r="F87" s="105">
        <v>0</v>
      </c>
      <c r="G87" s="105">
        <v>0</v>
      </c>
      <c r="H87" s="105">
        <v>0</v>
      </c>
      <c r="I87" s="105">
        <v>0</v>
      </c>
      <c r="J87" s="105">
        <v>0</v>
      </c>
      <c r="K87" s="165"/>
      <c r="L87" s="166"/>
    </row>
    <row r="88" spans="1:12" ht="21" customHeight="1" x14ac:dyDescent="0.25">
      <c r="A88" s="322"/>
      <c r="B88" s="180"/>
      <c r="C88" s="136">
        <v>0</v>
      </c>
      <c r="D88" s="108">
        <v>2020</v>
      </c>
      <c r="E88" s="105">
        <f t="shared" si="4"/>
        <v>0</v>
      </c>
      <c r="F88" s="122">
        <v>0</v>
      </c>
      <c r="G88" s="105">
        <v>0</v>
      </c>
      <c r="H88" s="105">
        <v>0</v>
      </c>
      <c r="I88" s="105">
        <v>0</v>
      </c>
      <c r="J88" s="105">
        <v>0</v>
      </c>
      <c r="K88" s="165"/>
      <c r="L88" s="166"/>
    </row>
    <row r="89" spans="1:12" ht="21" customHeight="1" x14ac:dyDescent="0.25">
      <c r="A89" s="322"/>
      <c r="B89" s="180"/>
      <c r="C89" s="138">
        <v>0</v>
      </c>
      <c r="D89" s="108">
        <v>2021</v>
      </c>
      <c r="E89" s="105">
        <f t="shared" si="4"/>
        <v>0</v>
      </c>
      <c r="F89" s="122">
        <v>0</v>
      </c>
      <c r="G89" s="105">
        <v>0</v>
      </c>
      <c r="H89" s="105">
        <v>0</v>
      </c>
      <c r="I89" s="105">
        <v>0</v>
      </c>
      <c r="J89" s="105">
        <v>0</v>
      </c>
      <c r="K89" s="165"/>
      <c r="L89" s="166"/>
    </row>
    <row r="90" spans="1:12" ht="21" customHeight="1" x14ac:dyDescent="0.25">
      <c r="A90" s="322"/>
      <c r="B90" s="180"/>
      <c r="C90" s="138">
        <v>0</v>
      </c>
      <c r="D90" s="108">
        <v>2022</v>
      </c>
      <c r="E90" s="105">
        <f t="shared" si="4"/>
        <v>0</v>
      </c>
      <c r="F90" s="122">
        <v>0</v>
      </c>
      <c r="G90" s="105">
        <v>0</v>
      </c>
      <c r="H90" s="105">
        <v>0</v>
      </c>
      <c r="I90" s="105">
        <v>0</v>
      </c>
      <c r="J90" s="105">
        <v>0</v>
      </c>
      <c r="K90" s="165"/>
      <c r="L90" s="166"/>
    </row>
    <row r="91" spans="1:12" ht="21" customHeight="1" x14ac:dyDescent="0.25">
      <c r="A91" s="322"/>
      <c r="B91" s="180"/>
      <c r="C91" s="138">
        <v>0</v>
      </c>
      <c r="D91" s="108">
        <v>2023</v>
      </c>
      <c r="E91" s="105">
        <f t="shared" si="4"/>
        <v>48484.7</v>
      </c>
      <c r="F91" s="122">
        <v>0</v>
      </c>
      <c r="G91" s="105">
        <f>57277.6-8792.9</f>
        <v>48484.7</v>
      </c>
      <c r="H91" s="105">
        <v>0</v>
      </c>
      <c r="I91" s="105">
        <v>0</v>
      </c>
      <c r="J91" s="105">
        <v>0</v>
      </c>
      <c r="K91" s="165"/>
      <c r="L91" s="166"/>
    </row>
    <row r="92" spans="1:12" ht="21" customHeight="1" x14ac:dyDescent="0.25">
      <c r="A92" s="322"/>
      <c r="B92" s="180"/>
      <c r="C92" s="138">
        <v>0</v>
      </c>
      <c r="D92" s="108">
        <v>2024</v>
      </c>
      <c r="E92" s="105">
        <f t="shared" si="4"/>
        <v>57277.599999999999</v>
      </c>
      <c r="F92" s="122">
        <v>0</v>
      </c>
      <c r="G92" s="105">
        <v>57277.599999999999</v>
      </c>
      <c r="H92" s="105">
        <v>0</v>
      </c>
      <c r="I92" s="105">
        <v>0</v>
      </c>
      <c r="J92" s="105">
        <v>0</v>
      </c>
      <c r="K92" s="165"/>
      <c r="L92" s="166"/>
    </row>
    <row r="93" spans="1:12" ht="21" customHeight="1" x14ac:dyDescent="0.25">
      <c r="A93" s="322"/>
      <c r="B93" s="180"/>
      <c r="C93" s="138">
        <v>0</v>
      </c>
      <c r="D93" s="108">
        <v>2025</v>
      </c>
      <c r="E93" s="105">
        <f t="shared" si="4"/>
        <v>57277.599999999999</v>
      </c>
      <c r="F93" s="122">
        <v>0</v>
      </c>
      <c r="G93" s="105">
        <v>57277.599999999999</v>
      </c>
      <c r="H93" s="105">
        <v>0</v>
      </c>
      <c r="I93" s="105">
        <v>0</v>
      </c>
      <c r="J93" s="105">
        <v>0</v>
      </c>
      <c r="K93" s="165"/>
      <c r="L93" s="166"/>
    </row>
    <row r="94" spans="1:12" ht="21" customHeight="1" x14ac:dyDescent="0.25">
      <c r="A94" s="322"/>
      <c r="B94" s="180"/>
      <c r="C94" s="138"/>
      <c r="D94" s="181">
        <v>2026</v>
      </c>
      <c r="E94" s="105">
        <f t="shared" si="4"/>
        <v>57277.599999999999</v>
      </c>
      <c r="F94" s="122">
        <v>0</v>
      </c>
      <c r="G94" s="105">
        <v>57277.599999999999</v>
      </c>
      <c r="H94" s="105">
        <v>0</v>
      </c>
      <c r="I94" s="105">
        <v>0</v>
      </c>
      <c r="J94" s="105">
        <v>0</v>
      </c>
      <c r="K94" s="165"/>
      <c r="L94" s="166"/>
    </row>
    <row r="95" spans="1:12" ht="21" customHeight="1" x14ac:dyDescent="0.25">
      <c r="A95" s="322"/>
      <c r="B95" s="73" t="s">
        <v>193</v>
      </c>
      <c r="C95" s="136">
        <v>0</v>
      </c>
      <c r="D95" s="104">
        <v>2018</v>
      </c>
      <c r="E95" s="105">
        <f t="shared" si="4"/>
        <v>2000</v>
      </c>
      <c r="F95" s="105">
        <v>0</v>
      </c>
      <c r="G95" s="105">
        <v>0</v>
      </c>
      <c r="H95" s="105">
        <v>2000</v>
      </c>
      <c r="I95" s="105">
        <v>0</v>
      </c>
      <c r="J95" s="105">
        <v>0</v>
      </c>
      <c r="K95" s="165"/>
      <c r="L95" s="166"/>
    </row>
    <row r="96" spans="1:12" ht="21" customHeight="1" x14ac:dyDescent="0.25">
      <c r="A96" s="322"/>
      <c r="B96" s="73"/>
      <c r="C96" s="136">
        <v>0</v>
      </c>
      <c r="D96" s="104">
        <v>2019</v>
      </c>
      <c r="E96" s="105">
        <f t="shared" si="4"/>
        <v>0</v>
      </c>
      <c r="F96" s="105">
        <v>0</v>
      </c>
      <c r="G96" s="105">
        <v>0</v>
      </c>
      <c r="H96" s="105">
        <v>0</v>
      </c>
      <c r="I96" s="105">
        <v>0</v>
      </c>
      <c r="J96" s="105">
        <v>0</v>
      </c>
      <c r="K96" s="165"/>
      <c r="L96" s="166"/>
    </row>
    <row r="97" spans="1:12" ht="21" customHeight="1" x14ac:dyDescent="0.25">
      <c r="A97" s="322"/>
      <c r="B97" s="73"/>
      <c r="C97" s="136">
        <v>0</v>
      </c>
      <c r="D97" s="108">
        <v>2020</v>
      </c>
      <c r="E97" s="105">
        <f t="shared" si="4"/>
        <v>298</v>
      </c>
      <c r="F97" s="122">
        <v>0</v>
      </c>
      <c r="G97" s="105">
        <v>0</v>
      </c>
      <c r="H97" s="105">
        <v>298</v>
      </c>
      <c r="I97" s="105">
        <v>0</v>
      </c>
      <c r="J97" s="105">
        <v>0</v>
      </c>
      <c r="K97" s="165"/>
      <c r="L97" s="166"/>
    </row>
    <row r="98" spans="1:12" ht="21" customHeight="1" x14ac:dyDescent="0.25">
      <c r="A98" s="322"/>
      <c r="B98" s="73"/>
      <c r="C98" s="138">
        <v>0</v>
      </c>
      <c r="D98" s="108">
        <v>2021</v>
      </c>
      <c r="E98" s="105">
        <f t="shared" si="4"/>
        <v>314.10000000000002</v>
      </c>
      <c r="F98" s="122">
        <v>0</v>
      </c>
      <c r="G98" s="105">
        <v>0</v>
      </c>
      <c r="H98" s="105">
        <v>314.10000000000002</v>
      </c>
      <c r="I98" s="105">
        <v>0</v>
      </c>
      <c r="J98" s="105">
        <v>0</v>
      </c>
      <c r="K98" s="165"/>
      <c r="L98" s="166"/>
    </row>
    <row r="99" spans="1:12" ht="21" customHeight="1" x14ac:dyDescent="0.25">
      <c r="A99" s="322"/>
      <c r="B99" s="73"/>
      <c r="C99" s="138">
        <v>0</v>
      </c>
      <c r="D99" s="108">
        <v>2022</v>
      </c>
      <c r="E99" s="105">
        <f t="shared" si="4"/>
        <v>1500</v>
      </c>
      <c r="F99" s="122">
        <v>0</v>
      </c>
      <c r="G99" s="105">
        <v>0</v>
      </c>
      <c r="H99" s="105">
        <v>1500</v>
      </c>
      <c r="I99" s="105">
        <v>0</v>
      </c>
      <c r="J99" s="105">
        <v>0</v>
      </c>
      <c r="K99" s="165"/>
      <c r="L99" s="166"/>
    </row>
    <row r="100" spans="1:12" ht="21" customHeight="1" x14ac:dyDescent="0.25">
      <c r="A100" s="322"/>
      <c r="B100" s="73"/>
      <c r="C100" s="138">
        <v>0</v>
      </c>
      <c r="D100" s="108">
        <v>2023</v>
      </c>
      <c r="E100" s="105">
        <f t="shared" si="4"/>
        <v>113.6</v>
      </c>
      <c r="F100" s="122">
        <v>0</v>
      </c>
      <c r="G100" s="105">
        <v>0</v>
      </c>
      <c r="H100" s="105">
        <v>113.6</v>
      </c>
      <c r="I100" s="105">
        <v>0</v>
      </c>
      <c r="J100" s="105">
        <v>0</v>
      </c>
      <c r="K100" s="165"/>
      <c r="L100" s="166"/>
    </row>
    <row r="101" spans="1:12" ht="21" customHeight="1" x14ac:dyDescent="0.25">
      <c r="A101" s="322"/>
      <c r="B101" s="73"/>
      <c r="C101" s="138">
        <v>0</v>
      </c>
      <c r="D101" s="108">
        <v>2024</v>
      </c>
      <c r="E101" s="105">
        <f t="shared" si="4"/>
        <v>125</v>
      </c>
      <c r="F101" s="122">
        <v>0</v>
      </c>
      <c r="G101" s="105">
        <v>0</v>
      </c>
      <c r="H101" s="123">
        <f>80+45</f>
        <v>125</v>
      </c>
      <c r="I101" s="105">
        <v>0</v>
      </c>
      <c r="J101" s="105">
        <v>0</v>
      </c>
      <c r="K101" s="165"/>
      <c r="L101" s="166"/>
    </row>
    <row r="102" spans="1:12" ht="21" customHeight="1" x14ac:dyDescent="0.25">
      <c r="A102" s="322"/>
      <c r="B102" s="73"/>
      <c r="C102" s="138">
        <v>0</v>
      </c>
      <c r="D102" s="108">
        <v>2025</v>
      </c>
      <c r="E102" s="105">
        <f t="shared" si="4"/>
        <v>0</v>
      </c>
      <c r="F102" s="122">
        <v>0</v>
      </c>
      <c r="G102" s="105">
        <v>0</v>
      </c>
      <c r="H102" s="123">
        <v>0</v>
      </c>
      <c r="I102" s="105">
        <v>0</v>
      </c>
      <c r="J102" s="105">
        <v>0</v>
      </c>
      <c r="K102" s="165"/>
      <c r="L102" s="166"/>
    </row>
    <row r="103" spans="1:12" ht="21" customHeight="1" x14ac:dyDescent="0.25">
      <c r="A103" s="323"/>
      <c r="B103" s="73"/>
      <c r="C103" s="138"/>
      <c r="D103" s="181">
        <v>2026</v>
      </c>
      <c r="E103" s="105">
        <f t="shared" si="4"/>
        <v>0</v>
      </c>
      <c r="F103" s="122">
        <v>0</v>
      </c>
      <c r="G103" s="105">
        <v>0</v>
      </c>
      <c r="H103" s="123">
        <v>0</v>
      </c>
      <c r="I103" s="105">
        <v>0</v>
      </c>
      <c r="J103" s="105">
        <v>0</v>
      </c>
      <c r="K103" s="120"/>
      <c r="L103" s="121"/>
    </row>
    <row r="104" spans="1:12" ht="21.95" customHeight="1" x14ac:dyDescent="0.25">
      <c r="A104" s="324"/>
      <c r="B104" s="73" t="s">
        <v>41</v>
      </c>
      <c r="C104" s="136">
        <v>0</v>
      </c>
      <c r="D104" s="104">
        <v>2018</v>
      </c>
      <c r="E104" s="105">
        <f t="shared" si="4"/>
        <v>6675.9</v>
      </c>
      <c r="F104" s="105">
        <v>0</v>
      </c>
      <c r="G104" s="105">
        <v>0</v>
      </c>
      <c r="H104" s="105">
        <v>6675.9</v>
      </c>
      <c r="I104" s="105">
        <v>0</v>
      </c>
      <c r="J104" s="105">
        <v>0</v>
      </c>
      <c r="K104" s="146"/>
      <c r="L104" s="147"/>
    </row>
    <row r="105" spans="1:12" ht="21.95" customHeight="1" x14ac:dyDescent="0.25">
      <c r="A105" s="322"/>
      <c r="B105" s="73"/>
      <c r="C105" s="136">
        <v>0</v>
      </c>
      <c r="D105" s="104">
        <v>2019</v>
      </c>
      <c r="E105" s="105">
        <f t="shared" si="4"/>
        <v>6879.7</v>
      </c>
      <c r="F105" s="105">
        <v>0</v>
      </c>
      <c r="G105" s="105">
        <v>0</v>
      </c>
      <c r="H105" s="105">
        <v>6879.7</v>
      </c>
      <c r="I105" s="105">
        <v>0</v>
      </c>
      <c r="J105" s="105">
        <v>0</v>
      </c>
      <c r="K105" s="165"/>
      <c r="L105" s="166"/>
    </row>
    <row r="106" spans="1:12" ht="21.95" customHeight="1" x14ac:dyDescent="0.25">
      <c r="A106" s="322"/>
      <c r="B106" s="73"/>
      <c r="C106" s="136">
        <v>0</v>
      </c>
      <c r="D106" s="108">
        <v>2020</v>
      </c>
      <c r="E106" s="105">
        <f t="shared" si="4"/>
        <v>4857.7</v>
      </c>
      <c r="F106" s="122">
        <v>0</v>
      </c>
      <c r="G106" s="105">
        <v>0</v>
      </c>
      <c r="H106" s="105">
        <v>4857.7</v>
      </c>
      <c r="I106" s="105">
        <v>0</v>
      </c>
      <c r="J106" s="105">
        <v>0</v>
      </c>
      <c r="K106" s="165"/>
      <c r="L106" s="166"/>
    </row>
    <row r="107" spans="1:12" ht="21.95" customHeight="1" x14ac:dyDescent="0.25">
      <c r="A107" s="322"/>
      <c r="B107" s="73"/>
      <c r="C107" s="138">
        <v>0</v>
      </c>
      <c r="D107" s="108">
        <v>2021</v>
      </c>
      <c r="E107" s="105">
        <f t="shared" si="4"/>
        <v>0</v>
      </c>
      <c r="F107" s="122">
        <v>0</v>
      </c>
      <c r="G107" s="105">
        <v>0</v>
      </c>
      <c r="H107" s="105">
        <v>0</v>
      </c>
      <c r="I107" s="105">
        <v>0</v>
      </c>
      <c r="J107" s="105">
        <v>0</v>
      </c>
      <c r="K107" s="165"/>
      <c r="L107" s="166"/>
    </row>
    <row r="108" spans="1:12" ht="21.95" customHeight="1" x14ac:dyDescent="0.25">
      <c r="A108" s="322"/>
      <c r="B108" s="73"/>
      <c r="C108" s="138">
        <v>0</v>
      </c>
      <c r="D108" s="108">
        <v>2022</v>
      </c>
      <c r="E108" s="105">
        <f t="shared" si="4"/>
        <v>0</v>
      </c>
      <c r="F108" s="122">
        <v>0</v>
      </c>
      <c r="G108" s="105">
        <v>0</v>
      </c>
      <c r="H108" s="105">
        <v>0</v>
      </c>
      <c r="I108" s="105">
        <v>0</v>
      </c>
      <c r="J108" s="105">
        <v>0</v>
      </c>
      <c r="K108" s="165"/>
      <c r="L108" s="166"/>
    </row>
    <row r="109" spans="1:12" ht="21.95" customHeight="1" x14ac:dyDescent="0.25">
      <c r="A109" s="322"/>
      <c r="B109" s="73"/>
      <c r="C109" s="138">
        <v>0</v>
      </c>
      <c r="D109" s="108">
        <v>2023</v>
      </c>
      <c r="E109" s="105">
        <f t="shared" si="4"/>
        <v>0</v>
      </c>
      <c r="F109" s="122">
        <v>0</v>
      </c>
      <c r="G109" s="105">
        <v>0</v>
      </c>
      <c r="H109" s="105">
        <v>0</v>
      </c>
      <c r="I109" s="105">
        <v>0</v>
      </c>
      <c r="J109" s="105">
        <v>0</v>
      </c>
      <c r="K109" s="165"/>
      <c r="L109" s="166"/>
    </row>
    <row r="110" spans="1:12" ht="21.95" customHeight="1" x14ac:dyDescent="0.25">
      <c r="A110" s="322"/>
      <c r="B110" s="73"/>
      <c r="C110" s="138">
        <v>0</v>
      </c>
      <c r="D110" s="108">
        <v>2024</v>
      </c>
      <c r="E110" s="105">
        <f t="shared" si="4"/>
        <v>0</v>
      </c>
      <c r="F110" s="122">
        <v>0</v>
      </c>
      <c r="G110" s="105">
        <v>0</v>
      </c>
      <c r="H110" s="105">
        <v>0</v>
      </c>
      <c r="I110" s="105">
        <v>0</v>
      </c>
      <c r="J110" s="105">
        <v>0</v>
      </c>
      <c r="K110" s="165"/>
      <c r="L110" s="166"/>
    </row>
    <row r="111" spans="1:12" ht="21.95" customHeight="1" thickBot="1" x14ac:dyDescent="0.3">
      <c r="A111" s="322"/>
      <c r="B111" s="73"/>
      <c r="C111" s="141">
        <v>0</v>
      </c>
      <c r="D111" s="108">
        <v>2025</v>
      </c>
      <c r="E111" s="105">
        <f t="shared" si="4"/>
        <v>0</v>
      </c>
      <c r="F111" s="122">
        <v>0</v>
      </c>
      <c r="G111" s="105">
        <v>0</v>
      </c>
      <c r="H111" s="105">
        <v>0</v>
      </c>
      <c r="I111" s="105">
        <v>0</v>
      </c>
      <c r="J111" s="105">
        <v>0</v>
      </c>
      <c r="K111" s="165"/>
      <c r="L111" s="166"/>
    </row>
    <row r="112" spans="1:12" s="135" customFormat="1" ht="21.95" customHeight="1" thickBot="1" x14ac:dyDescent="0.3">
      <c r="A112" s="325"/>
      <c r="B112" s="182"/>
      <c r="C112" s="183"/>
      <c r="D112" s="184">
        <v>2026</v>
      </c>
      <c r="E112" s="185">
        <f t="shared" si="4"/>
        <v>0</v>
      </c>
      <c r="F112" s="186">
        <v>0</v>
      </c>
      <c r="G112" s="185">
        <v>0</v>
      </c>
      <c r="H112" s="185">
        <v>0</v>
      </c>
      <c r="I112" s="185">
        <v>0</v>
      </c>
      <c r="J112" s="185">
        <v>0</v>
      </c>
      <c r="K112" s="168"/>
      <c r="L112" s="169"/>
    </row>
    <row r="113" spans="1:12" ht="21.95" customHeight="1" x14ac:dyDescent="0.25">
      <c r="A113" s="16" t="s">
        <v>38</v>
      </c>
      <c r="B113" s="179" t="s">
        <v>42</v>
      </c>
      <c r="C113" s="187">
        <v>0</v>
      </c>
      <c r="D113" s="118">
        <v>2018</v>
      </c>
      <c r="E113" s="119">
        <f t="shared" si="4"/>
        <v>0</v>
      </c>
      <c r="F113" s="119">
        <v>0</v>
      </c>
      <c r="G113" s="119">
        <v>0</v>
      </c>
      <c r="H113" s="119">
        <v>0</v>
      </c>
      <c r="I113" s="119">
        <v>0</v>
      </c>
      <c r="J113" s="119">
        <v>0</v>
      </c>
      <c r="K113" s="188"/>
      <c r="L113" s="189"/>
    </row>
    <row r="114" spans="1:12" ht="21.95" customHeight="1" x14ac:dyDescent="0.25">
      <c r="A114" s="17"/>
      <c r="B114" s="180"/>
      <c r="C114" s="136">
        <v>0</v>
      </c>
      <c r="D114" s="104">
        <v>2019</v>
      </c>
      <c r="E114" s="105">
        <f t="shared" si="4"/>
        <v>66.099999999999994</v>
      </c>
      <c r="F114" s="105">
        <v>0</v>
      </c>
      <c r="G114" s="105">
        <v>0</v>
      </c>
      <c r="H114" s="105">
        <v>66.099999999999994</v>
      </c>
      <c r="I114" s="105">
        <v>0</v>
      </c>
      <c r="J114" s="105">
        <v>0</v>
      </c>
      <c r="K114" s="190"/>
      <c r="L114" s="191"/>
    </row>
    <row r="115" spans="1:12" ht="21.95" customHeight="1" x14ac:dyDescent="0.25">
      <c r="A115" s="17"/>
      <c r="B115" s="180"/>
      <c r="C115" s="136">
        <v>0</v>
      </c>
      <c r="D115" s="108">
        <v>2020</v>
      </c>
      <c r="E115" s="105">
        <f t="shared" si="4"/>
        <v>0</v>
      </c>
      <c r="F115" s="122">
        <v>0</v>
      </c>
      <c r="G115" s="105">
        <v>0</v>
      </c>
      <c r="H115" s="105">
        <v>0</v>
      </c>
      <c r="I115" s="105">
        <v>0</v>
      </c>
      <c r="J115" s="105">
        <v>0</v>
      </c>
      <c r="K115" s="190"/>
      <c r="L115" s="191"/>
    </row>
    <row r="116" spans="1:12" ht="21.95" customHeight="1" x14ac:dyDescent="0.25">
      <c r="A116" s="17"/>
      <c r="B116" s="180"/>
      <c r="C116" s="138">
        <v>0</v>
      </c>
      <c r="D116" s="108">
        <v>2021</v>
      </c>
      <c r="E116" s="105">
        <f t="shared" si="4"/>
        <v>0</v>
      </c>
      <c r="F116" s="122">
        <v>0</v>
      </c>
      <c r="G116" s="105">
        <v>0</v>
      </c>
      <c r="H116" s="105">
        <v>0</v>
      </c>
      <c r="I116" s="105">
        <v>0</v>
      </c>
      <c r="J116" s="105">
        <v>0</v>
      </c>
      <c r="K116" s="190"/>
      <c r="L116" s="191"/>
    </row>
    <row r="117" spans="1:12" ht="21.95" customHeight="1" x14ac:dyDescent="0.25">
      <c r="A117" s="17"/>
      <c r="B117" s="180"/>
      <c r="C117" s="138">
        <v>0</v>
      </c>
      <c r="D117" s="108">
        <v>2022</v>
      </c>
      <c r="E117" s="105">
        <f t="shared" si="4"/>
        <v>0</v>
      </c>
      <c r="F117" s="122">
        <v>0</v>
      </c>
      <c r="G117" s="105">
        <v>0</v>
      </c>
      <c r="H117" s="105">
        <v>0</v>
      </c>
      <c r="I117" s="105">
        <v>0</v>
      </c>
      <c r="J117" s="105">
        <v>0</v>
      </c>
      <c r="K117" s="190"/>
      <c r="L117" s="191"/>
    </row>
    <row r="118" spans="1:12" ht="21.95" customHeight="1" x14ac:dyDescent="0.25">
      <c r="A118" s="17"/>
      <c r="B118" s="180"/>
      <c r="C118" s="138">
        <v>0</v>
      </c>
      <c r="D118" s="108">
        <v>2023</v>
      </c>
      <c r="E118" s="105">
        <f t="shared" si="4"/>
        <v>0</v>
      </c>
      <c r="F118" s="122">
        <v>0</v>
      </c>
      <c r="G118" s="105">
        <v>0</v>
      </c>
      <c r="H118" s="105">
        <v>0</v>
      </c>
      <c r="I118" s="105">
        <v>0</v>
      </c>
      <c r="J118" s="105">
        <v>0</v>
      </c>
      <c r="K118" s="190"/>
      <c r="L118" s="191"/>
    </row>
    <row r="119" spans="1:12" ht="21.95" customHeight="1" x14ac:dyDescent="0.25">
      <c r="A119" s="17"/>
      <c r="B119" s="180"/>
      <c r="C119" s="138">
        <v>0</v>
      </c>
      <c r="D119" s="108">
        <v>2024</v>
      </c>
      <c r="E119" s="105">
        <f t="shared" si="4"/>
        <v>0</v>
      </c>
      <c r="F119" s="122">
        <v>0</v>
      </c>
      <c r="G119" s="105">
        <v>0</v>
      </c>
      <c r="H119" s="105">
        <v>0</v>
      </c>
      <c r="I119" s="105">
        <v>0</v>
      </c>
      <c r="J119" s="105">
        <v>0</v>
      </c>
      <c r="K119" s="190"/>
      <c r="L119" s="191"/>
    </row>
    <row r="120" spans="1:12" ht="21.95" customHeight="1" x14ac:dyDescent="0.25">
      <c r="A120" s="17"/>
      <c r="B120" s="180"/>
      <c r="C120" s="138">
        <v>0</v>
      </c>
      <c r="D120" s="108">
        <v>2025</v>
      </c>
      <c r="E120" s="105">
        <f t="shared" si="4"/>
        <v>0</v>
      </c>
      <c r="F120" s="122">
        <v>0</v>
      </c>
      <c r="G120" s="105">
        <v>0</v>
      </c>
      <c r="H120" s="105">
        <v>0</v>
      </c>
      <c r="I120" s="105">
        <v>0</v>
      </c>
      <c r="J120" s="105">
        <v>0</v>
      </c>
      <c r="K120" s="190"/>
      <c r="L120" s="191"/>
    </row>
    <row r="121" spans="1:12" ht="21.95" customHeight="1" x14ac:dyDescent="0.25">
      <c r="A121" s="17"/>
      <c r="B121" s="180"/>
      <c r="C121" s="138"/>
      <c r="D121" s="181">
        <v>2026</v>
      </c>
      <c r="E121" s="105">
        <f t="shared" si="4"/>
        <v>0</v>
      </c>
      <c r="F121" s="122">
        <v>0</v>
      </c>
      <c r="G121" s="105">
        <v>0</v>
      </c>
      <c r="H121" s="105">
        <v>0</v>
      </c>
      <c r="I121" s="105">
        <v>0</v>
      </c>
      <c r="J121" s="105">
        <v>0</v>
      </c>
      <c r="K121" s="190"/>
      <c r="L121" s="191"/>
    </row>
    <row r="122" spans="1:12" ht="21.95" customHeight="1" x14ac:dyDescent="0.25">
      <c r="A122" s="17"/>
      <c r="B122" s="180" t="s">
        <v>173</v>
      </c>
      <c r="C122" s="136">
        <v>0</v>
      </c>
      <c r="D122" s="192">
        <v>2018</v>
      </c>
      <c r="E122" s="105">
        <f t="shared" si="4"/>
        <v>0</v>
      </c>
      <c r="F122" s="105">
        <v>0</v>
      </c>
      <c r="G122" s="105">
        <v>0</v>
      </c>
      <c r="H122" s="105">
        <v>0</v>
      </c>
      <c r="I122" s="105">
        <v>0</v>
      </c>
      <c r="J122" s="105">
        <v>0</v>
      </c>
      <c r="K122" s="190"/>
      <c r="L122" s="191"/>
    </row>
    <row r="123" spans="1:12" ht="21.95" customHeight="1" x14ac:dyDescent="0.25">
      <c r="A123" s="17"/>
      <c r="B123" s="180"/>
      <c r="C123" s="136">
        <v>0</v>
      </c>
      <c r="D123" s="104">
        <v>2019</v>
      </c>
      <c r="E123" s="105">
        <f t="shared" si="4"/>
        <v>0</v>
      </c>
      <c r="F123" s="105">
        <v>0</v>
      </c>
      <c r="G123" s="105">
        <v>0</v>
      </c>
      <c r="H123" s="105">
        <v>0</v>
      </c>
      <c r="I123" s="105">
        <v>0</v>
      </c>
      <c r="J123" s="105">
        <v>0</v>
      </c>
      <c r="K123" s="190"/>
      <c r="L123" s="191"/>
    </row>
    <row r="124" spans="1:12" ht="21.95" customHeight="1" x14ac:dyDescent="0.25">
      <c r="A124" s="17"/>
      <c r="B124" s="180"/>
      <c r="C124" s="136">
        <v>0</v>
      </c>
      <c r="D124" s="108">
        <v>2020</v>
      </c>
      <c r="E124" s="105">
        <f t="shared" si="4"/>
        <v>0</v>
      </c>
      <c r="F124" s="122">
        <v>0</v>
      </c>
      <c r="G124" s="105">
        <v>0</v>
      </c>
      <c r="H124" s="105">
        <v>0</v>
      </c>
      <c r="I124" s="105">
        <v>0</v>
      </c>
      <c r="J124" s="105">
        <v>0</v>
      </c>
      <c r="K124" s="190"/>
      <c r="L124" s="191"/>
    </row>
    <row r="125" spans="1:12" ht="21.95" customHeight="1" x14ac:dyDescent="0.25">
      <c r="A125" s="17"/>
      <c r="B125" s="180"/>
      <c r="C125" s="138">
        <v>0</v>
      </c>
      <c r="D125" s="108">
        <v>2021</v>
      </c>
      <c r="E125" s="105">
        <f t="shared" si="4"/>
        <v>0</v>
      </c>
      <c r="F125" s="122">
        <v>0</v>
      </c>
      <c r="G125" s="105">
        <v>0</v>
      </c>
      <c r="H125" s="105">
        <v>0</v>
      </c>
      <c r="I125" s="105">
        <v>0</v>
      </c>
      <c r="J125" s="105">
        <v>0</v>
      </c>
      <c r="K125" s="190"/>
      <c r="L125" s="191"/>
    </row>
    <row r="126" spans="1:12" ht="21.95" customHeight="1" x14ac:dyDescent="0.25">
      <c r="A126" s="17"/>
      <c r="B126" s="180"/>
      <c r="C126" s="138">
        <v>0</v>
      </c>
      <c r="D126" s="108">
        <v>2022</v>
      </c>
      <c r="E126" s="105">
        <f t="shared" si="4"/>
        <v>48.5</v>
      </c>
      <c r="F126" s="122">
        <v>0</v>
      </c>
      <c r="G126" s="105">
        <v>0</v>
      </c>
      <c r="H126" s="105">
        <v>48.5</v>
      </c>
      <c r="I126" s="105">
        <v>0</v>
      </c>
      <c r="J126" s="105">
        <v>0</v>
      </c>
      <c r="K126" s="190"/>
      <c r="L126" s="191"/>
    </row>
    <row r="127" spans="1:12" ht="21.95" customHeight="1" x14ac:dyDescent="0.25">
      <c r="A127" s="17"/>
      <c r="B127" s="180"/>
      <c r="C127" s="138">
        <v>0</v>
      </c>
      <c r="D127" s="108">
        <v>2023</v>
      </c>
      <c r="E127" s="105">
        <f t="shared" si="4"/>
        <v>113.4</v>
      </c>
      <c r="F127" s="122">
        <v>0</v>
      </c>
      <c r="G127" s="105">
        <v>0</v>
      </c>
      <c r="H127" s="105">
        <v>113.4</v>
      </c>
      <c r="I127" s="105">
        <v>0</v>
      </c>
      <c r="J127" s="105">
        <v>0</v>
      </c>
      <c r="K127" s="190"/>
      <c r="L127" s="191"/>
    </row>
    <row r="128" spans="1:12" ht="21.95" customHeight="1" x14ac:dyDescent="0.25">
      <c r="A128" s="17"/>
      <c r="B128" s="180"/>
      <c r="C128" s="138">
        <v>0</v>
      </c>
      <c r="D128" s="108">
        <v>2024</v>
      </c>
      <c r="E128" s="105">
        <f t="shared" si="4"/>
        <v>91.1</v>
      </c>
      <c r="F128" s="122">
        <v>0</v>
      </c>
      <c r="G128" s="105">
        <v>0</v>
      </c>
      <c r="H128" s="123">
        <v>91.1</v>
      </c>
      <c r="I128" s="105">
        <v>0</v>
      </c>
      <c r="J128" s="105">
        <v>0</v>
      </c>
      <c r="K128" s="190"/>
      <c r="L128" s="191"/>
    </row>
    <row r="129" spans="1:12" ht="21.95" customHeight="1" x14ac:dyDescent="0.25">
      <c r="A129" s="17"/>
      <c r="B129" s="180"/>
      <c r="C129" s="138">
        <v>0</v>
      </c>
      <c r="D129" s="108">
        <v>2025</v>
      </c>
      <c r="E129" s="105">
        <f t="shared" si="4"/>
        <v>91.1</v>
      </c>
      <c r="F129" s="122">
        <v>0</v>
      </c>
      <c r="G129" s="105">
        <v>0</v>
      </c>
      <c r="H129" s="123">
        <v>91.1</v>
      </c>
      <c r="I129" s="105">
        <v>0</v>
      </c>
      <c r="J129" s="105">
        <v>0</v>
      </c>
      <c r="K129" s="190"/>
      <c r="L129" s="191"/>
    </row>
    <row r="130" spans="1:12" ht="21.95" customHeight="1" x14ac:dyDescent="0.25">
      <c r="A130" s="17"/>
      <c r="B130" s="180"/>
      <c r="C130" s="138"/>
      <c r="D130" s="181">
        <v>2026</v>
      </c>
      <c r="E130" s="105">
        <f t="shared" si="4"/>
        <v>91.1</v>
      </c>
      <c r="F130" s="122">
        <v>0</v>
      </c>
      <c r="G130" s="105">
        <v>0</v>
      </c>
      <c r="H130" s="123">
        <v>91.1</v>
      </c>
      <c r="I130" s="105">
        <v>0</v>
      </c>
      <c r="J130" s="105">
        <v>0</v>
      </c>
      <c r="K130" s="190"/>
      <c r="L130" s="191"/>
    </row>
    <row r="131" spans="1:12" ht="21.95" customHeight="1" x14ac:dyDescent="0.25">
      <c r="A131" s="17"/>
      <c r="B131" s="180" t="s">
        <v>43</v>
      </c>
      <c r="C131" s="136">
        <v>0</v>
      </c>
      <c r="D131" s="104">
        <v>2018</v>
      </c>
      <c r="E131" s="105">
        <f t="shared" si="4"/>
        <v>57977.1</v>
      </c>
      <c r="F131" s="105">
        <v>0</v>
      </c>
      <c r="G131" s="105">
        <v>0</v>
      </c>
      <c r="H131" s="105">
        <v>0</v>
      </c>
      <c r="I131" s="105">
        <v>0</v>
      </c>
      <c r="J131" s="105">
        <v>57977.1</v>
      </c>
      <c r="K131" s="190"/>
      <c r="L131" s="191"/>
    </row>
    <row r="132" spans="1:12" ht="21.95" customHeight="1" x14ac:dyDescent="0.25">
      <c r="A132" s="17"/>
      <c r="B132" s="180"/>
      <c r="C132" s="136">
        <v>0</v>
      </c>
      <c r="D132" s="104">
        <v>2019</v>
      </c>
      <c r="E132" s="105">
        <f t="shared" si="4"/>
        <v>59231.3</v>
      </c>
      <c r="F132" s="105">
        <v>0</v>
      </c>
      <c r="G132" s="105">
        <v>0</v>
      </c>
      <c r="H132" s="105">
        <v>0</v>
      </c>
      <c r="I132" s="105">
        <v>0</v>
      </c>
      <c r="J132" s="105">
        <v>59231.3</v>
      </c>
      <c r="K132" s="190"/>
      <c r="L132" s="191"/>
    </row>
    <row r="133" spans="1:12" ht="21.95" customHeight="1" x14ac:dyDescent="0.25">
      <c r="A133" s="17"/>
      <c r="B133" s="180"/>
      <c r="C133" s="136">
        <v>0</v>
      </c>
      <c r="D133" s="108">
        <v>2020</v>
      </c>
      <c r="E133" s="105">
        <f t="shared" si="4"/>
        <v>70551.899999999994</v>
      </c>
      <c r="F133" s="122">
        <v>0</v>
      </c>
      <c r="G133" s="105">
        <v>0</v>
      </c>
      <c r="H133" s="105">
        <v>0</v>
      </c>
      <c r="I133" s="105">
        <v>0</v>
      </c>
      <c r="J133" s="105">
        <v>70551.899999999994</v>
      </c>
      <c r="K133" s="190"/>
      <c r="L133" s="191"/>
    </row>
    <row r="134" spans="1:12" ht="21.95" customHeight="1" x14ac:dyDescent="0.25">
      <c r="A134" s="17"/>
      <c r="B134" s="180"/>
      <c r="C134" s="138">
        <v>0</v>
      </c>
      <c r="D134" s="108">
        <v>2021</v>
      </c>
      <c r="E134" s="105">
        <f t="shared" si="4"/>
        <v>69547.399999999994</v>
      </c>
      <c r="F134" s="122">
        <v>0</v>
      </c>
      <c r="G134" s="105">
        <v>0</v>
      </c>
      <c r="H134" s="105">
        <v>0</v>
      </c>
      <c r="I134" s="105">
        <v>0</v>
      </c>
      <c r="J134" s="105">
        <v>69547.399999999994</v>
      </c>
      <c r="K134" s="190"/>
      <c r="L134" s="191"/>
    </row>
    <row r="135" spans="1:12" ht="21.95" customHeight="1" x14ac:dyDescent="0.25">
      <c r="A135" s="17"/>
      <c r="B135" s="180"/>
      <c r="C135" s="138">
        <v>0</v>
      </c>
      <c r="D135" s="108">
        <v>2022</v>
      </c>
      <c r="E135" s="105">
        <f t="shared" si="4"/>
        <v>83610.2</v>
      </c>
      <c r="F135" s="122">
        <v>0</v>
      </c>
      <c r="G135" s="105">
        <v>0</v>
      </c>
      <c r="H135" s="105">
        <v>0</v>
      </c>
      <c r="I135" s="105">
        <v>0</v>
      </c>
      <c r="J135" s="105">
        <f>108133.9-6423.7-18100</f>
        <v>83610.2</v>
      </c>
      <c r="K135" s="190"/>
      <c r="L135" s="191"/>
    </row>
    <row r="136" spans="1:12" ht="21.95" customHeight="1" x14ac:dyDescent="0.25">
      <c r="A136" s="17"/>
      <c r="B136" s="180"/>
      <c r="C136" s="138">
        <v>0</v>
      </c>
      <c r="D136" s="108">
        <v>2023</v>
      </c>
      <c r="E136" s="105">
        <f t="shared" si="4"/>
        <v>83561.600000000006</v>
      </c>
      <c r="F136" s="122">
        <v>0</v>
      </c>
      <c r="G136" s="105">
        <v>0</v>
      </c>
      <c r="H136" s="105">
        <v>0</v>
      </c>
      <c r="I136" s="105">
        <v>0</v>
      </c>
      <c r="J136" s="105">
        <f>93314.1-9752.5</f>
        <v>83561.600000000006</v>
      </c>
      <c r="K136" s="190"/>
      <c r="L136" s="191"/>
    </row>
    <row r="137" spans="1:12" ht="21.95" customHeight="1" x14ac:dyDescent="0.25">
      <c r="A137" s="17"/>
      <c r="B137" s="180"/>
      <c r="C137" s="138">
        <v>0</v>
      </c>
      <c r="D137" s="108">
        <v>2024</v>
      </c>
      <c r="E137" s="105">
        <f t="shared" si="4"/>
        <v>104084.70000000001</v>
      </c>
      <c r="F137" s="122">
        <v>0</v>
      </c>
      <c r="G137" s="105">
        <v>0</v>
      </c>
      <c r="H137" s="105">
        <v>0</v>
      </c>
      <c r="I137" s="105">
        <v>0</v>
      </c>
      <c r="J137" s="105">
        <f>83561.6+20523.1</f>
        <v>104084.70000000001</v>
      </c>
      <c r="K137" s="190"/>
      <c r="L137" s="191"/>
    </row>
    <row r="138" spans="1:12" ht="21.95" customHeight="1" x14ac:dyDescent="0.25">
      <c r="A138" s="17"/>
      <c r="B138" s="180"/>
      <c r="C138" s="138">
        <v>0</v>
      </c>
      <c r="D138" s="108">
        <v>2025</v>
      </c>
      <c r="E138" s="105">
        <f t="shared" si="4"/>
        <v>83561.600000000006</v>
      </c>
      <c r="F138" s="122">
        <v>0</v>
      </c>
      <c r="G138" s="105">
        <v>0</v>
      </c>
      <c r="H138" s="105">
        <v>0</v>
      </c>
      <c r="I138" s="105">
        <v>0</v>
      </c>
      <c r="J138" s="105">
        <v>83561.600000000006</v>
      </c>
      <c r="K138" s="190"/>
      <c r="L138" s="191"/>
    </row>
    <row r="139" spans="1:12" ht="21.95" customHeight="1" thickBot="1" x14ac:dyDescent="0.3">
      <c r="A139" s="18"/>
      <c r="B139" s="193"/>
      <c r="C139" s="148"/>
      <c r="D139" s="124">
        <v>2026</v>
      </c>
      <c r="E139" s="113">
        <f t="shared" si="4"/>
        <v>83561.600000000006</v>
      </c>
      <c r="F139" s="125">
        <v>0</v>
      </c>
      <c r="G139" s="113">
        <v>0</v>
      </c>
      <c r="H139" s="113">
        <v>0</v>
      </c>
      <c r="I139" s="113">
        <v>0</v>
      </c>
      <c r="J139" s="113">
        <v>83561.600000000006</v>
      </c>
      <c r="K139" s="194"/>
      <c r="L139" s="195"/>
    </row>
    <row r="140" spans="1:12" ht="21.95" customHeight="1" x14ac:dyDescent="0.25">
      <c r="A140" s="27" t="s">
        <v>45</v>
      </c>
      <c r="B140" s="179" t="s">
        <v>46</v>
      </c>
      <c r="C140" s="134">
        <v>0</v>
      </c>
      <c r="D140" s="98">
        <v>2018</v>
      </c>
      <c r="E140" s="99">
        <f t="shared" si="4"/>
        <v>672006.2</v>
      </c>
      <c r="F140" s="99">
        <v>0</v>
      </c>
      <c r="G140" s="99">
        <f>G149</f>
        <v>542844.5</v>
      </c>
      <c r="H140" s="99">
        <f t="shared" ref="H140:H148" si="6">H149+H167+H176+H185+H194+H203</f>
        <v>129161.70000000001</v>
      </c>
      <c r="I140" s="99">
        <v>0</v>
      </c>
      <c r="J140" s="99">
        <v>0</v>
      </c>
      <c r="K140" s="100" t="s">
        <v>182</v>
      </c>
      <c r="L140" s="101" t="s">
        <v>31</v>
      </c>
    </row>
    <row r="141" spans="1:12" ht="21.95" customHeight="1" x14ac:dyDescent="0.25">
      <c r="A141" s="28"/>
      <c r="B141" s="180"/>
      <c r="C141" s="136">
        <v>0</v>
      </c>
      <c r="D141" s="104">
        <v>2019</v>
      </c>
      <c r="E141" s="105">
        <f t="shared" si="4"/>
        <v>726214.6</v>
      </c>
      <c r="F141" s="105">
        <v>0</v>
      </c>
      <c r="G141" s="105">
        <f t="shared" ref="G141:G144" si="7">G150</f>
        <v>579302.19999999995</v>
      </c>
      <c r="H141" s="105">
        <f t="shared" si="6"/>
        <v>146912.40000000002</v>
      </c>
      <c r="I141" s="105">
        <v>0</v>
      </c>
      <c r="J141" s="105">
        <v>0</v>
      </c>
      <c r="K141" s="106"/>
      <c r="L141" s="107"/>
    </row>
    <row r="142" spans="1:12" ht="21.95" customHeight="1" x14ac:dyDescent="0.25">
      <c r="A142" s="28"/>
      <c r="B142" s="180"/>
      <c r="C142" s="136">
        <v>0</v>
      </c>
      <c r="D142" s="108">
        <v>2020</v>
      </c>
      <c r="E142" s="105">
        <f t="shared" si="4"/>
        <v>761500.89999999991</v>
      </c>
      <c r="F142" s="122">
        <v>0</v>
      </c>
      <c r="G142" s="105">
        <f t="shared" si="7"/>
        <v>611447.6</v>
      </c>
      <c r="H142" s="105">
        <f t="shared" si="6"/>
        <v>150053.29999999999</v>
      </c>
      <c r="I142" s="105">
        <v>0</v>
      </c>
      <c r="J142" s="105">
        <v>0</v>
      </c>
      <c r="K142" s="106"/>
      <c r="L142" s="107"/>
    </row>
    <row r="143" spans="1:12" ht="21.95" customHeight="1" x14ac:dyDescent="0.25">
      <c r="A143" s="28"/>
      <c r="B143" s="180"/>
      <c r="C143" s="138">
        <v>0</v>
      </c>
      <c r="D143" s="108">
        <v>2021</v>
      </c>
      <c r="E143" s="105">
        <f t="shared" si="4"/>
        <v>812507.1</v>
      </c>
      <c r="F143" s="122">
        <v>0</v>
      </c>
      <c r="G143" s="105">
        <f t="shared" si="7"/>
        <v>616452.1</v>
      </c>
      <c r="H143" s="105">
        <f t="shared" si="6"/>
        <v>196055</v>
      </c>
      <c r="I143" s="105">
        <v>0</v>
      </c>
      <c r="J143" s="105">
        <v>0</v>
      </c>
      <c r="K143" s="106"/>
      <c r="L143" s="107"/>
    </row>
    <row r="144" spans="1:12" ht="21.95" customHeight="1" x14ac:dyDescent="0.25">
      <c r="A144" s="28"/>
      <c r="B144" s="180"/>
      <c r="C144" s="138">
        <v>0</v>
      </c>
      <c r="D144" s="108">
        <v>2022</v>
      </c>
      <c r="E144" s="105">
        <f t="shared" si="4"/>
        <v>856518.10000000009</v>
      </c>
      <c r="F144" s="122">
        <v>0</v>
      </c>
      <c r="G144" s="105">
        <f t="shared" si="7"/>
        <v>655177.30000000005</v>
      </c>
      <c r="H144" s="105">
        <f t="shared" si="6"/>
        <v>201340.80000000002</v>
      </c>
      <c r="I144" s="105">
        <v>0</v>
      </c>
      <c r="J144" s="105">
        <v>0</v>
      </c>
      <c r="K144" s="106"/>
      <c r="L144" s="107"/>
    </row>
    <row r="145" spans="1:12" ht="21.95" customHeight="1" x14ac:dyDescent="0.25">
      <c r="A145" s="28"/>
      <c r="B145" s="180"/>
      <c r="C145" s="138">
        <v>0</v>
      </c>
      <c r="D145" s="108">
        <v>2023</v>
      </c>
      <c r="E145" s="105">
        <f t="shared" si="4"/>
        <v>991757.89999999991</v>
      </c>
      <c r="F145" s="122">
        <v>0</v>
      </c>
      <c r="G145" s="105">
        <f>G154+G163</f>
        <v>756043.39999999991</v>
      </c>
      <c r="H145" s="105">
        <f t="shared" si="6"/>
        <v>235714.49999999997</v>
      </c>
      <c r="I145" s="105">
        <v>0</v>
      </c>
      <c r="J145" s="105">
        <v>0</v>
      </c>
      <c r="K145" s="106"/>
      <c r="L145" s="107"/>
    </row>
    <row r="146" spans="1:12" ht="21.95" customHeight="1" x14ac:dyDescent="0.25">
      <c r="A146" s="28"/>
      <c r="B146" s="180"/>
      <c r="C146" s="138">
        <v>0</v>
      </c>
      <c r="D146" s="108">
        <v>2024</v>
      </c>
      <c r="E146" s="105">
        <f t="shared" si="4"/>
        <v>1162713.1000000001</v>
      </c>
      <c r="F146" s="122">
        <v>0</v>
      </c>
      <c r="G146" s="105">
        <f>G155+G164</f>
        <v>915150.50000000012</v>
      </c>
      <c r="H146" s="105">
        <f t="shared" si="6"/>
        <v>247562.6</v>
      </c>
      <c r="I146" s="105">
        <v>0</v>
      </c>
      <c r="J146" s="105">
        <v>0</v>
      </c>
      <c r="K146" s="106"/>
      <c r="L146" s="107"/>
    </row>
    <row r="147" spans="1:12" ht="21.95" customHeight="1" x14ac:dyDescent="0.25">
      <c r="A147" s="28"/>
      <c r="B147" s="180"/>
      <c r="C147" s="138">
        <v>0</v>
      </c>
      <c r="D147" s="108">
        <v>2025</v>
      </c>
      <c r="E147" s="105">
        <f t="shared" si="4"/>
        <v>1079131.9000000001</v>
      </c>
      <c r="F147" s="122">
        <v>0</v>
      </c>
      <c r="G147" s="105">
        <f>G156+G165</f>
        <v>841971.90000000014</v>
      </c>
      <c r="H147" s="105">
        <f t="shared" si="6"/>
        <v>237160.00000000003</v>
      </c>
      <c r="I147" s="105">
        <v>0</v>
      </c>
      <c r="J147" s="105">
        <v>0</v>
      </c>
      <c r="K147" s="106"/>
      <c r="L147" s="107"/>
    </row>
    <row r="148" spans="1:12" ht="21.95" customHeight="1" x14ac:dyDescent="0.25">
      <c r="A148" s="28"/>
      <c r="B148" s="180"/>
      <c r="C148" s="138"/>
      <c r="D148" s="181">
        <v>2026</v>
      </c>
      <c r="E148" s="105">
        <f t="shared" si="4"/>
        <v>1125099.6000000001</v>
      </c>
      <c r="F148" s="122">
        <v>0</v>
      </c>
      <c r="G148" s="105">
        <f>G157+G166</f>
        <v>887939.6</v>
      </c>
      <c r="H148" s="105">
        <f t="shared" si="6"/>
        <v>237160.00000000003</v>
      </c>
      <c r="I148" s="105">
        <v>0</v>
      </c>
      <c r="J148" s="105">
        <v>0</v>
      </c>
      <c r="K148" s="106"/>
      <c r="L148" s="107"/>
    </row>
    <row r="149" spans="1:12" ht="21.95" customHeight="1" x14ac:dyDescent="0.25">
      <c r="A149" s="28"/>
      <c r="B149" s="180" t="s">
        <v>47</v>
      </c>
      <c r="C149" s="136">
        <v>0</v>
      </c>
      <c r="D149" s="104">
        <v>2018</v>
      </c>
      <c r="E149" s="105">
        <f t="shared" si="4"/>
        <v>660511.30000000005</v>
      </c>
      <c r="F149" s="105">
        <v>0</v>
      </c>
      <c r="G149" s="105">
        <v>542844.5</v>
      </c>
      <c r="H149" s="105">
        <v>117666.8</v>
      </c>
      <c r="I149" s="105">
        <v>0</v>
      </c>
      <c r="J149" s="105">
        <v>0</v>
      </c>
      <c r="K149" s="106"/>
      <c r="L149" s="107"/>
    </row>
    <row r="150" spans="1:12" ht="21.95" customHeight="1" x14ac:dyDescent="0.25">
      <c r="A150" s="28"/>
      <c r="B150" s="180"/>
      <c r="C150" s="136">
        <v>0</v>
      </c>
      <c r="D150" s="104">
        <v>2019</v>
      </c>
      <c r="E150" s="105">
        <f t="shared" si="4"/>
        <v>704263.2</v>
      </c>
      <c r="F150" s="105">
        <v>0</v>
      </c>
      <c r="G150" s="105">
        <v>579302.19999999995</v>
      </c>
      <c r="H150" s="105">
        <v>124961</v>
      </c>
      <c r="I150" s="105">
        <v>0</v>
      </c>
      <c r="J150" s="105">
        <v>0</v>
      </c>
      <c r="K150" s="106"/>
      <c r="L150" s="107"/>
    </row>
    <row r="151" spans="1:12" ht="21.95" customHeight="1" x14ac:dyDescent="0.25">
      <c r="A151" s="28"/>
      <c r="B151" s="180"/>
      <c r="C151" s="136">
        <v>0</v>
      </c>
      <c r="D151" s="108">
        <v>2020</v>
      </c>
      <c r="E151" s="105">
        <f t="shared" si="4"/>
        <v>746389</v>
      </c>
      <c r="F151" s="122">
        <v>0</v>
      </c>
      <c r="G151" s="105">
        <v>611447.6</v>
      </c>
      <c r="H151" s="105">
        <v>134941.4</v>
      </c>
      <c r="I151" s="105">
        <v>0</v>
      </c>
      <c r="J151" s="105">
        <v>0</v>
      </c>
      <c r="K151" s="106"/>
      <c r="L151" s="107"/>
    </row>
    <row r="152" spans="1:12" ht="21.95" customHeight="1" x14ac:dyDescent="0.25">
      <c r="A152" s="28"/>
      <c r="B152" s="180"/>
      <c r="C152" s="138">
        <v>0</v>
      </c>
      <c r="D152" s="108">
        <v>2021</v>
      </c>
      <c r="E152" s="105">
        <f t="shared" si="4"/>
        <v>788161.1</v>
      </c>
      <c r="F152" s="122">
        <v>0</v>
      </c>
      <c r="G152" s="105">
        <v>616452.1</v>
      </c>
      <c r="H152" s="105">
        <v>171709</v>
      </c>
      <c r="I152" s="105">
        <v>0</v>
      </c>
      <c r="J152" s="105">
        <v>0</v>
      </c>
      <c r="K152" s="106"/>
      <c r="L152" s="107"/>
    </row>
    <row r="153" spans="1:12" ht="21.95" customHeight="1" x14ac:dyDescent="0.25">
      <c r="A153" s="28"/>
      <c r="B153" s="180"/>
      <c r="C153" s="138">
        <v>0</v>
      </c>
      <c r="D153" s="108">
        <v>2022</v>
      </c>
      <c r="E153" s="105">
        <f t="shared" si="4"/>
        <v>844913.3</v>
      </c>
      <c r="F153" s="122">
        <v>0</v>
      </c>
      <c r="G153" s="105">
        <f>618230.9+30755+6191.4</f>
        <v>655177.30000000005</v>
      </c>
      <c r="H153" s="105">
        <f>181469.6+167+1957.7+2531.9+3609.8</f>
        <v>189736</v>
      </c>
      <c r="I153" s="105">
        <v>0</v>
      </c>
      <c r="J153" s="105">
        <v>0</v>
      </c>
      <c r="K153" s="106"/>
      <c r="L153" s="107"/>
    </row>
    <row r="154" spans="1:12" ht="21.95" customHeight="1" x14ac:dyDescent="0.25">
      <c r="A154" s="28"/>
      <c r="B154" s="180"/>
      <c r="C154" s="138">
        <v>0</v>
      </c>
      <c r="D154" s="108">
        <v>2023</v>
      </c>
      <c r="E154" s="105">
        <f t="shared" si="4"/>
        <v>879267.5</v>
      </c>
      <c r="F154" s="122">
        <v>0</v>
      </c>
      <c r="G154" s="105">
        <f>629345.1+17325.4+1431.7+1337+11148</f>
        <v>660587.19999999995</v>
      </c>
      <c r="H154" s="105">
        <f>208259.8+2449.1+565.4+401.5+1498.9+5236.2+250+292-470.6+198</f>
        <v>218680.3</v>
      </c>
      <c r="I154" s="105">
        <v>0</v>
      </c>
      <c r="J154" s="105">
        <v>0</v>
      </c>
      <c r="K154" s="106"/>
      <c r="L154" s="107"/>
    </row>
    <row r="155" spans="1:12" ht="21.95" customHeight="1" x14ac:dyDescent="0.25">
      <c r="A155" s="28"/>
      <c r="B155" s="180"/>
      <c r="C155" s="138">
        <v>0</v>
      </c>
      <c r="D155" s="108">
        <v>2024</v>
      </c>
      <c r="E155" s="105">
        <f>F155+G155+H155+J155</f>
        <v>987236.40000000014</v>
      </c>
      <c r="F155" s="122">
        <v>0</v>
      </c>
      <c r="G155" s="123">
        <f>817152.3-G164-2693.1-3311+104002.3</f>
        <v>757856.90000000014</v>
      </c>
      <c r="H155" s="123">
        <v>229379.5</v>
      </c>
      <c r="I155" s="105">
        <v>0</v>
      </c>
      <c r="J155" s="105">
        <v>0</v>
      </c>
      <c r="K155" s="106"/>
      <c r="L155" s="107"/>
    </row>
    <row r="156" spans="1:12" ht="21.95" customHeight="1" x14ac:dyDescent="0.25">
      <c r="A156" s="28"/>
      <c r="B156" s="180"/>
      <c r="C156" s="138">
        <v>0</v>
      </c>
      <c r="D156" s="108">
        <v>2025</v>
      </c>
      <c r="E156" s="105">
        <f t="shared" si="4"/>
        <v>973519.40000000014</v>
      </c>
      <c r="F156" s="122">
        <v>0</v>
      </c>
      <c r="G156" s="123">
        <f>833424.8-G165-6440.2+14987.3</f>
        <v>748049.20000000019</v>
      </c>
      <c r="H156" s="123">
        <v>225470.2</v>
      </c>
      <c r="I156" s="105">
        <v>0</v>
      </c>
      <c r="J156" s="105">
        <v>0</v>
      </c>
      <c r="K156" s="106"/>
      <c r="L156" s="107"/>
    </row>
    <row r="157" spans="1:12" ht="21.95" customHeight="1" x14ac:dyDescent="0.25">
      <c r="A157" s="28"/>
      <c r="B157" s="180"/>
      <c r="C157" s="138"/>
      <c r="D157" s="181">
        <v>2026</v>
      </c>
      <c r="E157" s="105">
        <f t="shared" si="4"/>
        <v>1020280.3</v>
      </c>
      <c r="F157" s="122">
        <v>0</v>
      </c>
      <c r="G157" s="123">
        <f>881482.9-G166-7813.3+14270</f>
        <v>794810.1</v>
      </c>
      <c r="H157" s="123">
        <v>225470.2</v>
      </c>
      <c r="I157" s="105">
        <v>0</v>
      </c>
      <c r="J157" s="105">
        <v>0</v>
      </c>
      <c r="K157" s="106"/>
      <c r="L157" s="107"/>
    </row>
    <row r="158" spans="1:12" ht="21.95" customHeight="1" x14ac:dyDescent="0.25">
      <c r="A158" s="28"/>
      <c r="B158" s="180" t="s">
        <v>191</v>
      </c>
      <c r="C158" s="136">
        <v>0</v>
      </c>
      <c r="D158" s="104">
        <v>2018</v>
      </c>
      <c r="E158" s="105">
        <f t="shared" si="4"/>
        <v>0</v>
      </c>
      <c r="F158" s="105">
        <v>0</v>
      </c>
      <c r="G158" s="105">
        <v>0</v>
      </c>
      <c r="H158" s="105">
        <v>0</v>
      </c>
      <c r="I158" s="105">
        <v>0</v>
      </c>
      <c r="J158" s="105">
        <v>0</v>
      </c>
      <c r="K158" s="106"/>
      <c r="L158" s="107"/>
    </row>
    <row r="159" spans="1:12" ht="21.95" customHeight="1" x14ac:dyDescent="0.25">
      <c r="A159" s="28"/>
      <c r="B159" s="180"/>
      <c r="C159" s="136">
        <v>0</v>
      </c>
      <c r="D159" s="104">
        <v>2019</v>
      </c>
      <c r="E159" s="105">
        <f t="shared" si="4"/>
        <v>0</v>
      </c>
      <c r="F159" s="105">
        <v>0</v>
      </c>
      <c r="G159" s="105">
        <v>0</v>
      </c>
      <c r="H159" s="105">
        <v>0</v>
      </c>
      <c r="I159" s="105">
        <v>0</v>
      </c>
      <c r="J159" s="105">
        <v>0</v>
      </c>
      <c r="K159" s="106"/>
      <c r="L159" s="107"/>
    </row>
    <row r="160" spans="1:12" ht="21.95" customHeight="1" x14ac:dyDescent="0.25">
      <c r="A160" s="28"/>
      <c r="B160" s="180"/>
      <c r="C160" s="136">
        <v>0</v>
      </c>
      <c r="D160" s="108">
        <v>2020</v>
      </c>
      <c r="E160" s="105">
        <f t="shared" si="4"/>
        <v>0</v>
      </c>
      <c r="F160" s="122">
        <v>0</v>
      </c>
      <c r="G160" s="105">
        <v>0</v>
      </c>
      <c r="H160" s="105">
        <v>0</v>
      </c>
      <c r="I160" s="105">
        <v>0</v>
      </c>
      <c r="J160" s="105">
        <v>0</v>
      </c>
      <c r="K160" s="106"/>
      <c r="L160" s="107"/>
    </row>
    <row r="161" spans="1:12" ht="21.95" customHeight="1" x14ac:dyDescent="0.25">
      <c r="A161" s="28"/>
      <c r="B161" s="180"/>
      <c r="C161" s="138">
        <v>0</v>
      </c>
      <c r="D161" s="108">
        <v>2021</v>
      </c>
      <c r="E161" s="105">
        <f t="shared" si="4"/>
        <v>0</v>
      </c>
      <c r="F161" s="122">
        <v>0</v>
      </c>
      <c r="G161" s="105">
        <v>0</v>
      </c>
      <c r="H161" s="105">
        <v>0</v>
      </c>
      <c r="I161" s="105">
        <v>0</v>
      </c>
      <c r="J161" s="105">
        <v>0</v>
      </c>
      <c r="K161" s="106"/>
      <c r="L161" s="107"/>
    </row>
    <row r="162" spans="1:12" ht="21.95" customHeight="1" x14ac:dyDescent="0.25">
      <c r="A162" s="28"/>
      <c r="B162" s="180"/>
      <c r="C162" s="138">
        <v>0</v>
      </c>
      <c r="D162" s="108">
        <v>2022</v>
      </c>
      <c r="E162" s="105">
        <f t="shared" si="4"/>
        <v>0</v>
      </c>
      <c r="F162" s="122">
        <v>0</v>
      </c>
      <c r="G162" s="105">
        <v>0</v>
      </c>
      <c r="H162" s="105">
        <v>0</v>
      </c>
      <c r="I162" s="105">
        <v>0</v>
      </c>
      <c r="J162" s="105">
        <v>0</v>
      </c>
      <c r="K162" s="106"/>
      <c r="L162" s="107"/>
    </row>
    <row r="163" spans="1:12" ht="21.95" customHeight="1" x14ac:dyDescent="0.25">
      <c r="A163" s="28"/>
      <c r="B163" s="180"/>
      <c r="C163" s="138">
        <v>0</v>
      </c>
      <c r="D163" s="108">
        <v>2023</v>
      </c>
      <c r="E163" s="105">
        <f t="shared" si="4"/>
        <v>95456.2</v>
      </c>
      <c r="F163" s="122">
        <v>0</v>
      </c>
      <c r="G163" s="105">
        <f>92267.8+4490-1301.6</f>
        <v>95456.2</v>
      </c>
      <c r="H163" s="105">
        <v>0</v>
      </c>
      <c r="I163" s="105">
        <v>0</v>
      </c>
      <c r="J163" s="105">
        <v>0</v>
      </c>
      <c r="K163" s="106"/>
      <c r="L163" s="107"/>
    </row>
    <row r="164" spans="1:12" ht="21.95" customHeight="1" x14ac:dyDescent="0.25">
      <c r="A164" s="28"/>
      <c r="B164" s="180"/>
      <c r="C164" s="138">
        <v>0</v>
      </c>
      <c r="D164" s="108">
        <v>2024</v>
      </c>
      <c r="E164" s="105">
        <f t="shared" si="4"/>
        <v>157293.6</v>
      </c>
      <c r="F164" s="122">
        <v>0</v>
      </c>
      <c r="G164" s="105">
        <f>92062.1+60708.1+4523.4</f>
        <v>157293.6</v>
      </c>
      <c r="H164" s="105">
        <v>0</v>
      </c>
      <c r="I164" s="105">
        <v>0</v>
      </c>
      <c r="J164" s="105">
        <v>0</v>
      </c>
      <c r="K164" s="106"/>
      <c r="L164" s="107"/>
    </row>
    <row r="165" spans="1:12" ht="21.95" customHeight="1" x14ac:dyDescent="0.25">
      <c r="A165" s="28"/>
      <c r="B165" s="180"/>
      <c r="C165" s="138">
        <v>0</v>
      </c>
      <c r="D165" s="108">
        <v>2025</v>
      </c>
      <c r="E165" s="105">
        <f t="shared" si="4"/>
        <v>93922.700000000012</v>
      </c>
      <c r="F165" s="122">
        <v>0</v>
      </c>
      <c r="G165" s="105">
        <f>92062.1+60708.1-58847.5</f>
        <v>93922.700000000012</v>
      </c>
      <c r="H165" s="105">
        <v>0</v>
      </c>
      <c r="I165" s="105">
        <v>0</v>
      </c>
      <c r="J165" s="105">
        <v>0</v>
      </c>
      <c r="K165" s="106"/>
      <c r="L165" s="107"/>
    </row>
    <row r="166" spans="1:12" ht="21.95" customHeight="1" x14ac:dyDescent="0.25">
      <c r="A166" s="28"/>
      <c r="B166" s="180"/>
      <c r="C166" s="138"/>
      <c r="D166" s="181">
        <v>2026</v>
      </c>
      <c r="E166" s="105">
        <f t="shared" si="4"/>
        <v>93129.500000000015</v>
      </c>
      <c r="F166" s="122">
        <v>0</v>
      </c>
      <c r="G166" s="105">
        <f>92062.1+60708.1-59640.7</f>
        <v>93129.500000000015</v>
      </c>
      <c r="H166" s="105">
        <v>0</v>
      </c>
      <c r="I166" s="105">
        <v>0</v>
      </c>
      <c r="J166" s="105">
        <v>0</v>
      </c>
      <c r="K166" s="106"/>
      <c r="L166" s="107"/>
    </row>
    <row r="167" spans="1:12" ht="21.95" customHeight="1" x14ac:dyDescent="0.25">
      <c r="A167" s="28"/>
      <c r="B167" s="180" t="s">
        <v>192</v>
      </c>
      <c r="C167" s="136">
        <v>0</v>
      </c>
      <c r="D167" s="104">
        <v>2018</v>
      </c>
      <c r="E167" s="105">
        <f t="shared" si="4"/>
        <v>0</v>
      </c>
      <c r="F167" s="105">
        <v>0</v>
      </c>
      <c r="G167" s="105">
        <v>0</v>
      </c>
      <c r="H167" s="105">
        <v>0</v>
      </c>
      <c r="I167" s="105">
        <v>0</v>
      </c>
      <c r="J167" s="105">
        <v>0</v>
      </c>
      <c r="K167" s="106"/>
      <c r="L167" s="107"/>
    </row>
    <row r="168" spans="1:12" ht="21.95" customHeight="1" x14ac:dyDescent="0.25">
      <c r="A168" s="28"/>
      <c r="B168" s="180"/>
      <c r="C168" s="136">
        <v>0</v>
      </c>
      <c r="D168" s="104">
        <v>2019</v>
      </c>
      <c r="E168" s="105">
        <f t="shared" ref="E168:E239" si="8">F168+G168+H168+J168</f>
        <v>9017.7000000000007</v>
      </c>
      <c r="F168" s="105">
        <v>0</v>
      </c>
      <c r="G168" s="105">
        <v>0</v>
      </c>
      <c r="H168" s="105">
        <v>9017.7000000000007</v>
      </c>
      <c r="I168" s="105">
        <v>0</v>
      </c>
      <c r="J168" s="105">
        <v>0</v>
      </c>
      <c r="K168" s="106"/>
      <c r="L168" s="107"/>
    </row>
    <row r="169" spans="1:12" ht="21.95" customHeight="1" x14ac:dyDescent="0.25">
      <c r="A169" s="28"/>
      <c r="B169" s="180"/>
      <c r="C169" s="136">
        <v>0</v>
      </c>
      <c r="D169" s="103">
        <v>2020</v>
      </c>
      <c r="E169" s="105">
        <f t="shared" si="8"/>
        <v>804.9</v>
      </c>
      <c r="F169" s="122">
        <v>0</v>
      </c>
      <c r="G169" s="105">
        <v>0</v>
      </c>
      <c r="H169" s="105">
        <v>804.9</v>
      </c>
      <c r="I169" s="105">
        <v>0</v>
      </c>
      <c r="J169" s="105">
        <v>0</v>
      </c>
      <c r="K169" s="106"/>
      <c r="L169" s="107"/>
    </row>
    <row r="170" spans="1:12" ht="21.95" customHeight="1" x14ac:dyDescent="0.25">
      <c r="A170" s="28"/>
      <c r="B170" s="180"/>
      <c r="C170" s="138">
        <v>0</v>
      </c>
      <c r="D170" s="103">
        <v>2021</v>
      </c>
      <c r="E170" s="105">
        <f t="shared" si="8"/>
        <v>0</v>
      </c>
      <c r="F170" s="122">
        <v>0</v>
      </c>
      <c r="G170" s="105">
        <v>0</v>
      </c>
      <c r="H170" s="105">
        <v>0</v>
      </c>
      <c r="I170" s="105">
        <v>0</v>
      </c>
      <c r="J170" s="105">
        <v>0</v>
      </c>
      <c r="K170" s="106"/>
      <c r="L170" s="107"/>
    </row>
    <row r="171" spans="1:12" ht="21.95" customHeight="1" x14ac:dyDescent="0.25">
      <c r="A171" s="28"/>
      <c r="B171" s="180"/>
      <c r="C171" s="138">
        <v>0</v>
      </c>
      <c r="D171" s="103">
        <v>2022</v>
      </c>
      <c r="E171" s="105">
        <f t="shared" si="8"/>
        <v>0</v>
      </c>
      <c r="F171" s="122">
        <v>0</v>
      </c>
      <c r="G171" s="105">
        <v>0</v>
      </c>
      <c r="H171" s="105">
        <v>0</v>
      </c>
      <c r="I171" s="105">
        <v>0</v>
      </c>
      <c r="J171" s="105">
        <v>0</v>
      </c>
      <c r="K171" s="106"/>
      <c r="L171" s="107"/>
    </row>
    <row r="172" spans="1:12" ht="21.95" customHeight="1" x14ac:dyDescent="0.25">
      <c r="A172" s="28"/>
      <c r="B172" s="180"/>
      <c r="C172" s="138">
        <v>0</v>
      </c>
      <c r="D172" s="103">
        <v>2023</v>
      </c>
      <c r="E172" s="105">
        <f t="shared" si="8"/>
        <v>0</v>
      </c>
      <c r="F172" s="122">
        <v>0</v>
      </c>
      <c r="G172" s="105">
        <v>0</v>
      </c>
      <c r="H172" s="105">
        <v>0</v>
      </c>
      <c r="I172" s="105">
        <v>0</v>
      </c>
      <c r="J172" s="105">
        <v>0</v>
      </c>
      <c r="K172" s="106"/>
      <c r="L172" s="107"/>
    </row>
    <row r="173" spans="1:12" ht="21.95" customHeight="1" x14ac:dyDescent="0.25">
      <c r="A173" s="28"/>
      <c r="B173" s="180"/>
      <c r="C173" s="138">
        <v>0</v>
      </c>
      <c r="D173" s="103">
        <v>2024</v>
      </c>
      <c r="E173" s="105">
        <f t="shared" si="8"/>
        <v>0</v>
      </c>
      <c r="F173" s="122">
        <v>0</v>
      </c>
      <c r="G173" s="105">
        <v>0</v>
      </c>
      <c r="H173" s="105">
        <v>0</v>
      </c>
      <c r="I173" s="105">
        <v>0</v>
      </c>
      <c r="J173" s="105">
        <v>0</v>
      </c>
      <c r="K173" s="106"/>
      <c r="L173" s="107"/>
    </row>
    <row r="174" spans="1:12" ht="21.95" customHeight="1" x14ac:dyDescent="0.25">
      <c r="A174" s="28"/>
      <c r="B174" s="180"/>
      <c r="C174" s="138">
        <v>0</v>
      </c>
      <c r="D174" s="103">
        <v>2025</v>
      </c>
      <c r="E174" s="105">
        <f t="shared" si="8"/>
        <v>0</v>
      </c>
      <c r="F174" s="122">
        <v>0</v>
      </c>
      <c r="G174" s="105">
        <v>0</v>
      </c>
      <c r="H174" s="105">
        <v>0</v>
      </c>
      <c r="I174" s="105">
        <v>0</v>
      </c>
      <c r="J174" s="105">
        <v>0</v>
      </c>
      <c r="K174" s="106"/>
      <c r="L174" s="107"/>
    </row>
    <row r="175" spans="1:12" ht="21.95" customHeight="1" x14ac:dyDescent="0.25">
      <c r="A175" s="28"/>
      <c r="B175" s="180"/>
      <c r="C175" s="138"/>
      <c r="D175" s="326">
        <v>2026</v>
      </c>
      <c r="E175" s="105">
        <f t="shared" si="8"/>
        <v>0</v>
      </c>
      <c r="F175" s="122">
        <v>0</v>
      </c>
      <c r="G175" s="105">
        <v>0</v>
      </c>
      <c r="H175" s="105">
        <v>0</v>
      </c>
      <c r="I175" s="105">
        <v>0</v>
      </c>
      <c r="J175" s="105">
        <v>0</v>
      </c>
      <c r="K175" s="106"/>
      <c r="L175" s="107"/>
    </row>
    <row r="176" spans="1:12" ht="21.95" customHeight="1" x14ac:dyDescent="0.25">
      <c r="A176" s="30" t="s">
        <v>45</v>
      </c>
      <c r="B176" s="180" t="s">
        <v>187</v>
      </c>
      <c r="C176" s="136">
        <v>0</v>
      </c>
      <c r="D176" s="104">
        <v>2018</v>
      </c>
      <c r="E176" s="105">
        <f t="shared" si="8"/>
        <v>0</v>
      </c>
      <c r="F176" s="105">
        <v>0</v>
      </c>
      <c r="G176" s="105">
        <v>0</v>
      </c>
      <c r="H176" s="105">
        <v>0</v>
      </c>
      <c r="I176" s="105">
        <v>0</v>
      </c>
      <c r="J176" s="105">
        <v>0</v>
      </c>
      <c r="K176" s="146"/>
      <c r="L176" s="147"/>
    </row>
    <row r="177" spans="1:12" ht="21.95" customHeight="1" x14ac:dyDescent="0.25">
      <c r="A177" s="17"/>
      <c r="B177" s="180"/>
      <c r="C177" s="136">
        <v>0</v>
      </c>
      <c r="D177" s="104">
        <v>2019</v>
      </c>
      <c r="E177" s="105">
        <f t="shared" si="8"/>
        <v>0</v>
      </c>
      <c r="F177" s="105">
        <v>0</v>
      </c>
      <c r="G177" s="105">
        <v>0</v>
      </c>
      <c r="H177" s="105">
        <v>0</v>
      </c>
      <c r="I177" s="105">
        <v>0</v>
      </c>
      <c r="J177" s="105">
        <v>0</v>
      </c>
      <c r="K177" s="165"/>
      <c r="L177" s="166"/>
    </row>
    <row r="178" spans="1:12" ht="21.95" customHeight="1" x14ac:dyDescent="0.25">
      <c r="A178" s="17"/>
      <c r="B178" s="180"/>
      <c r="C178" s="136">
        <v>0</v>
      </c>
      <c r="D178" s="108">
        <v>2020</v>
      </c>
      <c r="E178" s="105">
        <f t="shared" si="8"/>
        <v>3186.3</v>
      </c>
      <c r="F178" s="122">
        <v>0</v>
      </c>
      <c r="G178" s="105">
        <v>0</v>
      </c>
      <c r="H178" s="105">
        <v>3186.3</v>
      </c>
      <c r="I178" s="105">
        <v>0</v>
      </c>
      <c r="J178" s="105">
        <v>0</v>
      </c>
      <c r="K178" s="165"/>
      <c r="L178" s="166"/>
    </row>
    <row r="179" spans="1:12" ht="21.95" customHeight="1" x14ac:dyDescent="0.25">
      <c r="A179" s="17"/>
      <c r="B179" s="180"/>
      <c r="C179" s="138">
        <v>0</v>
      </c>
      <c r="D179" s="108">
        <v>2021</v>
      </c>
      <c r="E179" s="105">
        <f t="shared" si="8"/>
        <v>8358.6</v>
      </c>
      <c r="F179" s="122">
        <v>0</v>
      </c>
      <c r="G179" s="105">
        <v>0</v>
      </c>
      <c r="H179" s="105">
        <v>8358.6</v>
      </c>
      <c r="I179" s="105">
        <v>0</v>
      </c>
      <c r="J179" s="105">
        <v>0</v>
      </c>
      <c r="K179" s="165"/>
      <c r="L179" s="166"/>
    </row>
    <row r="180" spans="1:12" ht="21.95" customHeight="1" x14ac:dyDescent="0.25">
      <c r="A180" s="17"/>
      <c r="B180" s="180"/>
      <c r="C180" s="138">
        <v>0</v>
      </c>
      <c r="D180" s="108">
        <v>2022</v>
      </c>
      <c r="E180" s="105">
        <f t="shared" si="8"/>
        <v>2735.7</v>
      </c>
      <c r="F180" s="122">
        <v>0</v>
      </c>
      <c r="G180" s="105">
        <v>0</v>
      </c>
      <c r="H180" s="105">
        <f>2000+689.2+46.5</f>
        <v>2735.7</v>
      </c>
      <c r="I180" s="105">
        <v>0</v>
      </c>
      <c r="J180" s="105">
        <v>0</v>
      </c>
      <c r="K180" s="165"/>
      <c r="L180" s="166"/>
    </row>
    <row r="181" spans="1:12" ht="21.95" customHeight="1" x14ac:dyDescent="0.25">
      <c r="A181" s="17"/>
      <c r="B181" s="180"/>
      <c r="C181" s="138">
        <v>0</v>
      </c>
      <c r="D181" s="108">
        <v>2023</v>
      </c>
      <c r="E181" s="105">
        <f t="shared" si="8"/>
        <v>2897.5</v>
      </c>
      <c r="F181" s="122">
        <v>0</v>
      </c>
      <c r="G181" s="105">
        <v>0</v>
      </c>
      <c r="H181" s="105">
        <f>2135.4+762.1</f>
        <v>2897.5</v>
      </c>
      <c r="I181" s="105">
        <v>0</v>
      </c>
      <c r="J181" s="105">
        <v>0</v>
      </c>
      <c r="K181" s="165"/>
      <c r="L181" s="166"/>
    </row>
    <row r="182" spans="1:12" ht="21.95" customHeight="1" x14ac:dyDescent="0.25">
      <c r="A182" s="17"/>
      <c r="B182" s="180"/>
      <c r="C182" s="138">
        <v>0</v>
      </c>
      <c r="D182" s="108">
        <v>2024</v>
      </c>
      <c r="E182" s="105">
        <f t="shared" si="8"/>
        <v>2246.5</v>
      </c>
      <c r="F182" s="122">
        <v>0</v>
      </c>
      <c r="G182" s="105">
        <v>0</v>
      </c>
      <c r="H182" s="123">
        <f>738.8+160+640+175.7+532</f>
        <v>2246.5</v>
      </c>
      <c r="I182" s="105">
        <v>0</v>
      </c>
      <c r="J182" s="105">
        <v>0</v>
      </c>
      <c r="K182" s="165"/>
      <c r="L182" s="166"/>
    </row>
    <row r="183" spans="1:12" ht="21.95" customHeight="1" x14ac:dyDescent="0.25">
      <c r="A183" s="17"/>
      <c r="B183" s="180"/>
      <c r="C183" s="138">
        <v>0</v>
      </c>
      <c r="D183" s="108">
        <v>2025</v>
      </c>
      <c r="E183" s="105">
        <f t="shared" si="8"/>
        <v>0</v>
      </c>
      <c r="F183" s="122">
        <v>0</v>
      </c>
      <c r="G183" s="105">
        <v>0</v>
      </c>
      <c r="H183" s="123">
        <v>0</v>
      </c>
      <c r="I183" s="105">
        <v>0</v>
      </c>
      <c r="J183" s="105">
        <v>0</v>
      </c>
      <c r="K183" s="165"/>
      <c r="L183" s="166"/>
    </row>
    <row r="184" spans="1:12" ht="21.95" customHeight="1" x14ac:dyDescent="0.25">
      <c r="A184" s="17"/>
      <c r="B184" s="180"/>
      <c r="C184" s="138"/>
      <c r="D184" s="181">
        <v>2026</v>
      </c>
      <c r="E184" s="105">
        <f t="shared" si="8"/>
        <v>0</v>
      </c>
      <c r="F184" s="122">
        <v>0</v>
      </c>
      <c r="G184" s="105">
        <v>0</v>
      </c>
      <c r="H184" s="123">
        <v>0</v>
      </c>
      <c r="I184" s="105">
        <v>0</v>
      </c>
      <c r="J184" s="105">
        <v>0</v>
      </c>
      <c r="K184" s="165"/>
      <c r="L184" s="166"/>
    </row>
    <row r="185" spans="1:12" ht="21.95" customHeight="1" x14ac:dyDescent="0.25">
      <c r="A185" s="17"/>
      <c r="B185" s="180" t="s">
        <v>48</v>
      </c>
      <c r="C185" s="136">
        <v>0</v>
      </c>
      <c r="D185" s="104">
        <v>2018</v>
      </c>
      <c r="E185" s="105">
        <f t="shared" si="8"/>
        <v>11257.6</v>
      </c>
      <c r="F185" s="105">
        <v>0</v>
      </c>
      <c r="G185" s="105">
        <v>0</v>
      </c>
      <c r="H185" s="105">
        <v>11257.6</v>
      </c>
      <c r="I185" s="105">
        <v>0</v>
      </c>
      <c r="J185" s="105">
        <v>0</v>
      </c>
      <c r="K185" s="165"/>
      <c r="L185" s="166"/>
    </row>
    <row r="186" spans="1:12" ht="21.95" customHeight="1" x14ac:dyDescent="0.25">
      <c r="A186" s="17"/>
      <c r="B186" s="180"/>
      <c r="C186" s="136">
        <v>0</v>
      </c>
      <c r="D186" s="104">
        <v>2019</v>
      </c>
      <c r="E186" s="105">
        <f t="shared" si="8"/>
        <v>12701.7</v>
      </c>
      <c r="F186" s="105">
        <v>0</v>
      </c>
      <c r="G186" s="105">
        <v>0</v>
      </c>
      <c r="H186" s="105">
        <v>12701.7</v>
      </c>
      <c r="I186" s="105">
        <v>0</v>
      </c>
      <c r="J186" s="105">
        <v>0</v>
      </c>
      <c r="K186" s="165"/>
      <c r="L186" s="166"/>
    </row>
    <row r="187" spans="1:12" ht="21.95" customHeight="1" x14ac:dyDescent="0.25">
      <c r="A187" s="17"/>
      <c r="B187" s="180"/>
      <c r="C187" s="136">
        <v>0</v>
      </c>
      <c r="D187" s="108">
        <v>2020</v>
      </c>
      <c r="E187" s="105">
        <f t="shared" si="8"/>
        <v>10967.7</v>
      </c>
      <c r="F187" s="122">
        <v>0</v>
      </c>
      <c r="G187" s="105">
        <v>0</v>
      </c>
      <c r="H187" s="105">
        <v>10967.7</v>
      </c>
      <c r="I187" s="105">
        <v>0</v>
      </c>
      <c r="J187" s="105">
        <v>0</v>
      </c>
      <c r="K187" s="165"/>
      <c r="L187" s="166"/>
    </row>
    <row r="188" spans="1:12" ht="21.95" customHeight="1" x14ac:dyDescent="0.25">
      <c r="A188" s="17"/>
      <c r="B188" s="180"/>
      <c r="C188" s="138">
        <v>0</v>
      </c>
      <c r="D188" s="108">
        <v>2021</v>
      </c>
      <c r="E188" s="105">
        <f t="shared" si="8"/>
        <v>15710.1</v>
      </c>
      <c r="F188" s="122">
        <v>0</v>
      </c>
      <c r="G188" s="105">
        <v>0</v>
      </c>
      <c r="H188" s="105">
        <v>15710.1</v>
      </c>
      <c r="I188" s="105">
        <v>0</v>
      </c>
      <c r="J188" s="105">
        <v>0</v>
      </c>
      <c r="K188" s="165"/>
      <c r="L188" s="166"/>
    </row>
    <row r="189" spans="1:12" ht="21.95" customHeight="1" x14ac:dyDescent="0.25">
      <c r="A189" s="17"/>
      <c r="B189" s="180"/>
      <c r="C189" s="138">
        <v>0</v>
      </c>
      <c r="D189" s="108">
        <v>2022</v>
      </c>
      <c r="E189" s="105">
        <f t="shared" si="8"/>
        <v>8463.1</v>
      </c>
      <c r="F189" s="122">
        <v>0</v>
      </c>
      <c r="G189" s="105">
        <v>0</v>
      </c>
      <c r="H189" s="105">
        <f>7614.9+1163+350+0.1-664.9</f>
        <v>8463.1</v>
      </c>
      <c r="I189" s="105">
        <v>0</v>
      </c>
      <c r="J189" s="105">
        <v>0</v>
      </c>
      <c r="K189" s="165"/>
      <c r="L189" s="166"/>
    </row>
    <row r="190" spans="1:12" ht="21.95" customHeight="1" x14ac:dyDescent="0.25">
      <c r="A190" s="17"/>
      <c r="B190" s="180"/>
      <c r="C190" s="138">
        <v>0</v>
      </c>
      <c r="D190" s="108">
        <v>2023</v>
      </c>
      <c r="E190" s="105">
        <f t="shared" si="8"/>
        <v>13758.4</v>
      </c>
      <c r="F190" s="122">
        <v>0</v>
      </c>
      <c r="G190" s="105">
        <v>0</v>
      </c>
      <c r="H190" s="105">
        <f>6521+2544.7-10+244.9-5+1391.8+3233.1-122.1-40</f>
        <v>13758.4</v>
      </c>
      <c r="I190" s="105">
        <v>0</v>
      </c>
      <c r="J190" s="105">
        <v>0</v>
      </c>
      <c r="K190" s="165"/>
      <c r="L190" s="166"/>
    </row>
    <row r="191" spans="1:12" ht="21.95" customHeight="1" x14ac:dyDescent="0.25">
      <c r="A191" s="17"/>
      <c r="B191" s="180"/>
      <c r="C191" s="138">
        <v>0</v>
      </c>
      <c r="D191" s="108">
        <v>2024</v>
      </c>
      <c r="E191" s="105">
        <f t="shared" si="8"/>
        <v>15400.4</v>
      </c>
      <c r="F191" s="122">
        <v>0</v>
      </c>
      <c r="G191" s="105">
        <v>0</v>
      </c>
      <c r="H191" s="123">
        <f>15455.9-55.5</f>
        <v>15400.4</v>
      </c>
      <c r="I191" s="105">
        <v>0</v>
      </c>
      <c r="J191" s="105">
        <v>0</v>
      </c>
      <c r="K191" s="165"/>
      <c r="L191" s="166"/>
    </row>
    <row r="192" spans="1:12" ht="21.95" customHeight="1" x14ac:dyDescent="0.25">
      <c r="A192" s="17"/>
      <c r="B192" s="180"/>
      <c r="C192" s="138">
        <v>0</v>
      </c>
      <c r="D192" s="108">
        <v>2025</v>
      </c>
      <c r="E192" s="105">
        <f t="shared" si="8"/>
        <v>11153.6</v>
      </c>
      <c r="F192" s="122">
        <v>0</v>
      </c>
      <c r="G192" s="105">
        <v>0</v>
      </c>
      <c r="H192" s="123">
        <f>11153.6</f>
        <v>11153.6</v>
      </c>
      <c r="I192" s="105">
        <v>0</v>
      </c>
      <c r="J192" s="105">
        <v>0</v>
      </c>
      <c r="K192" s="165"/>
      <c r="L192" s="166"/>
    </row>
    <row r="193" spans="1:12" ht="21.95" customHeight="1" x14ac:dyDescent="0.25">
      <c r="A193" s="17"/>
      <c r="B193" s="180"/>
      <c r="C193" s="138"/>
      <c r="D193" s="181">
        <v>2026</v>
      </c>
      <c r="E193" s="105">
        <f t="shared" si="8"/>
        <v>11153.6</v>
      </c>
      <c r="F193" s="122">
        <v>0</v>
      </c>
      <c r="G193" s="105">
        <v>0</v>
      </c>
      <c r="H193" s="123">
        <f>11153.6</f>
        <v>11153.6</v>
      </c>
      <c r="I193" s="105">
        <v>0</v>
      </c>
      <c r="J193" s="105">
        <v>0</v>
      </c>
      <c r="K193" s="165"/>
      <c r="L193" s="166"/>
    </row>
    <row r="194" spans="1:12" ht="21.95" customHeight="1" x14ac:dyDescent="0.25">
      <c r="A194" s="17"/>
      <c r="B194" s="180" t="s">
        <v>49</v>
      </c>
      <c r="C194" s="136">
        <v>0</v>
      </c>
      <c r="D194" s="104">
        <v>2018</v>
      </c>
      <c r="E194" s="105">
        <f t="shared" si="8"/>
        <v>187.3</v>
      </c>
      <c r="F194" s="105">
        <v>0</v>
      </c>
      <c r="G194" s="105">
        <v>0</v>
      </c>
      <c r="H194" s="105">
        <v>187.3</v>
      </c>
      <c r="I194" s="105">
        <v>0</v>
      </c>
      <c r="J194" s="105">
        <v>0</v>
      </c>
      <c r="K194" s="165"/>
      <c r="L194" s="166"/>
    </row>
    <row r="195" spans="1:12" ht="21.95" customHeight="1" x14ac:dyDescent="0.25">
      <c r="A195" s="17"/>
      <c r="B195" s="180"/>
      <c r="C195" s="136">
        <v>0</v>
      </c>
      <c r="D195" s="104">
        <v>2019</v>
      </c>
      <c r="E195" s="105">
        <f t="shared" si="8"/>
        <v>193</v>
      </c>
      <c r="F195" s="105">
        <v>0</v>
      </c>
      <c r="G195" s="105">
        <v>0</v>
      </c>
      <c r="H195" s="105">
        <v>193</v>
      </c>
      <c r="I195" s="105">
        <v>0</v>
      </c>
      <c r="J195" s="105">
        <v>0</v>
      </c>
      <c r="K195" s="165"/>
      <c r="L195" s="166"/>
    </row>
    <row r="196" spans="1:12" ht="21.95" customHeight="1" x14ac:dyDescent="0.25">
      <c r="A196" s="17"/>
      <c r="B196" s="180"/>
      <c r="C196" s="136">
        <v>0</v>
      </c>
      <c r="D196" s="108">
        <v>2020</v>
      </c>
      <c r="E196" s="105">
        <f t="shared" si="8"/>
        <v>153</v>
      </c>
      <c r="F196" s="122">
        <v>0</v>
      </c>
      <c r="G196" s="105">
        <v>0</v>
      </c>
      <c r="H196" s="105">
        <v>153</v>
      </c>
      <c r="I196" s="105">
        <v>0</v>
      </c>
      <c r="J196" s="105">
        <v>0</v>
      </c>
      <c r="K196" s="165"/>
      <c r="L196" s="166"/>
    </row>
    <row r="197" spans="1:12" ht="21.95" customHeight="1" x14ac:dyDescent="0.25">
      <c r="A197" s="17"/>
      <c r="B197" s="180"/>
      <c r="C197" s="138">
        <v>0</v>
      </c>
      <c r="D197" s="108">
        <v>2021</v>
      </c>
      <c r="E197" s="105">
        <f t="shared" si="8"/>
        <v>277.3</v>
      </c>
      <c r="F197" s="122">
        <v>0</v>
      </c>
      <c r="G197" s="105">
        <v>0</v>
      </c>
      <c r="H197" s="105">
        <v>277.3</v>
      </c>
      <c r="I197" s="105">
        <v>0</v>
      </c>
      <c r="J197" s="105">
        <v>0</v>
      </c>
      <c r="K197" s="165"/>
      <c r="L197" s="166"/>
    </row>
    <row r="198" spans="1:12" ht="21.95" customHeight="1" x14ac:dyDescent="0.25">
      <c r="A198" s="17"/>
      <c r="B198" s="180"/>
      <c r="C198" s="138">
        <v>0</v>
      </c>
      <c r="D198" s="108">
        <v>2022</v>
      </c>
      <c r="E198" s="105">
        <f t="shared" si="8"/>
        <v>406</v>
      </c>
      <c r="F198" s="122">
        <v>0</v>
      </c>
      <c r="G198" s="105">
        <v>0</v>
      </c>
      <c r="H198" s="105">
        <f>336+70</f>
        <v>406</v>
      </c>
      <c r="I198" s="105">
        <v>0</v>
      </c>
      <c r="J198" s="105">
        <v>0</v>
      </c>
      <c r="K198" s="165"/>
      <c r="L198" s="166"/>
    </row>
    <row r="199" spans="1:12" ht="21.95" customHeight="1" x14ac:dyDescent="0.25">
      <c r="A199" s="17"/>
      <c r="B199" s="180"/>
      <c r="C199" s="138">
        <v>0</v>
      </c>
      <c r="D199" s="108">
        <v>2023</v>
      </c>
      <c r="E199" s="105">
        <f t="shared" si="8"/>
        <v>378.3</v>
      </c>
      <c r="F199" s="122">
        <v>0</v>
      </c>
      <c r="G199" s="105">
        <v>0</v>
      </c>
      <c r="H199" s="105">
        <f>289+39.3+10+40</f>
        <v>378.3</v>
      </c>
      <c r="I199" s="105">
        <v>0</v>
      </c>
      <c r="J199" s="105">
        <v>0</v>
      </c>
      <c r="K199" s="165"/>
      <c r="L199" s="166"/>
    </row>
    <row r="200" spans="1:12" ht="21.95" customHeight="1" x14ac:dyDescent="0.25">
      <c r="A200" s="17"/>
      <c r="B200" s="180"/>
      <c r="C200" s="138">
        <v>0</v>
      </c>
      <c r="D200" s="108">
        <v>2024</v>
      </c>
      <c r="E200" s="105">
        <f t="shared" si="8"/>
        <v>536.20000000000005</v>
      </c>
      <c r="F200" s="122">
        <v>0</v>
      </c>
      <c r="G200" s="105">
        <v>0</v>
      </c>
      <c r="H200" s="123">
        <v>536.20000000000005</v>
      </c>
      <c r="I200" s="105">
        <v>0</v>
      </c>
      <c r="J200" s="105">
        <v>0</v>
      </c>
      <c r="K200" s="165"/>
      <c r="L200" s="166"/>
    </row>
    <row r="201" spans="1:12" ht="21.95" customHeight="1" x14ac:dyDescent="0.25">
      <c r="A201" s="17"/>
      <c r="B201" s="180"/>
      <c r="C201" s="138">
        <v>0</v>
      </c>
      <c r="D201" s="108">
        <v>2025</v>
      </c>
      <c r="E201" s="105">
        <f t="shared" si="8"/>
        <v>536.20000000000005</v>
      </c>
      <c r="F201" s="122">
        <v>0</v>
      </c>
      <c r="G201" s="105">
        <v>0</v>
      </c>
      <c r="H201" s="123">
        <v>536.20000000000005</v>
      </c>
      <c r="I201" s="105">
        <v>0</v>
      </c>
      <c r="J201" s="105">
        <v>0</v>
      </c>
      <c r="K201" s="165"/>
      <c r="L201" s="166"/>
    </row>
    <row r="202" spans="1:12" ht="21.95" customHeight="1" x14ac:dyDescent="0.25">
      <c r="A202" s="17"/>
      <c r="B202" s="180"/>
      <c r="C202" s="138"/>
      <c r="D202" s="181">
        <v>2026</v>
      </c>
      <c r="E202" s="105">
        <f t="shared" si="8"/>
        <v>536.20000000000005</v>
      </c>
      <c r="F202" s="122">
        <v>0</v>
      </c>
      <c r="G202" s="105">
        <v>0</v>
      </c>
      <c r="H202" s="123">
        <v>536.20000000000005</v>
      </c>
      <c r="I202" s="105">
        <v>0</v>
      </c>
      <c r="J202" s="105">
        <v>0</v>
      </c>
      <c r="K202" s="165"/>
      <c r="L202" s="166"/>
    </row>
    <row r="203" spans="1:12" ht="21.95" customHeight="1" x14ac:dyDescent="0.25">
      <c r="A203" s="17"/>
      <c r="B203" s="180" t="s">
        <v>50</v>
      </c>
      <c r="C203" s="136">
        <v>0</v>
      </c>
      <c r="D203" s="104">
        <v>2018</v>
      </c>
      <c r="E203" s="105">
        <f t="shared" si="8"/>
        <v>50</v>
      </c>
      <c r="F203" s="105">
        <v>0</v>
      </c>
      <c r="G203" s="105">
        <v>0</v>
      </c>
      <c r="H203" s="105">
        <v>50</v>
      </c>
      <c r="I203" s="105">
        <v>0</v>
      </c>
      <c r="J203" s="105">
        <v>0</v>
      </c>
      <c r="K203" s="165"/>
      <c r="L203" s="166"/>
    </row>
    <row r="204" spans="1:12" ht="21.95" customHeight="1" x14ac:dyDescent="0.25">
      <c r="A204" s="17"/>
      <c r="B204" s="180"/>
      <c r="C204" s="136">
        <v>0</v>
      </c>
      <c r="D204" s="104">
        <v>2019</v>
      </c>
      <c r="E204" s="105">
        <f t="shared" si="8"/>
        <v>39</v>
      </c>
      <c r="F204" s="105">
        <v>0</v>
      </c>
      <c r="G204" s="105">
        <v>0</v>
      </c>
      <c r="H204" s="105">
        <v>39</v>
      </c>
      <c r="I204" s="105">
        <v>0</v>
      </c>
      <c r="J204" s="105">
        <v>0</v>
      </c>
      <c r="K204" s="165"/>
      <c r="L204" s="166"/>
    </row>
    <row r="205" spans="1:12" ht="21.95" customHeight="1" x14ac:dyDescent="0.25">
      <c r="A205" s="17"/>
      <c r="B205" s="180"/>
      <c r="C205" s="136">
        <v>0</v>
      </c>
      <c r="D205" s="108">
        <v>2020</v>
      </c>
      <c r="E205" s="105">
        <f t="shared" si="8"/>
        <v>0</v>
      </c>
      <c r="F205" s="122">
        <v>0</v>
      </c>
      <c r="G205" s="105">
        <v>0</v>
      </c>
      <c r="H205" s="105">
        <v>0</v>
      </c>
      <c r="I205" s="105">
        <v>0</v>
      </c>
      <c r="J205" s="105">
        <v>0</v>
      </c>
      <c r="K205" s="165"/>
      <c r="L205" s="166"/>
    </row>
    <row r="206" spans="1:12" ht="21.95" customHeight="1" x14ac:dyDescent="0.25">
      <c r="A206" s="17"/>
      <c r="B206" s="180"/>
      <c r="C206" s="138">
        <v>0</v>
      </c>
      <c r="D206" s="108">
        <v>2021</v>
      </c>
      <c r="E206" s="105">
        <f t="shared" si="8"/>
        <v>0</v>
      </c>
      <c r="F206" s="122">
        <v>0</v>
      </c>
      <c r="G206" s="105">
        <v>0</v>
      </c>
      <c r="H206" s="105">
        <v>0</v>
      </c>
      <c r="I206" s="105">
        <v>0</v>
      </c>
      <c r="J206" s="105">
        <v>0</v>
      </c>
      <c r="K206" s="165"/>
      <c r="L206" s="166"/>
    </row>
    <row r="207" spans="1:12" ht="21.95" customHeight="1" x14ac:dyDescent="0.25">
      <c r="A207" s="17"/>
      <c r="B207" s="180"/>
      <c r="C207" s="138">
        <v>0</v>
      </c>
      <c r="D207" s="108">
        <v>2022</v>
      </c>
      <c r="E207" s="105">
        <f t="shared" si="8"/>
        <v>0</v>
      </c>
      <c r="F207" s="122">
        <v>0</v>
      </c>
      <c r="G207" s="105">
        <v>0</v>
      </c>
      <c r="H207" s="105">
        <v>0</v>
      </c>
      <c r="I207" s="105">
        <v>0</v>
      </c>
      <c r="J207" s="105">
        <v>0</v>
      </c>
      <c r="K207" s="165"/>
      <c r="L207" s="166"/>
    </row>
    <row r="208" spans="1:12" ht="21.95" customHeight="1" x14ac:dyDescent="0.25">
      <c r="A208" s="17"/>
      <c r="B208" s="180"/>
      <c r="C208" s="138">
        <v>0</v>
      </c>
      <c r="D208" s="108">
        <v>2023</v>
      </c>
      <c r="E208" s="105">
        <f t="shared" si="8"/>
        <v>0</v>
      </c>
      <c r="F208" s="122">
        <v>0</v>
      </c>
      <c r="G208" s="105">
        <v>0</v>
      </c>
      <c r="H208" s="105">
        <v>0</v>
      </c>
      <c r="I208" s="105">
        <v>0</v>
      </c>
      <c r="J208" s="105">
        <v>0</v>
      </c>
      <c r="K208" s="165"/>
      <c r="L208" s="166"/>
    </row>
    <row r="209" spans="1:12" ht="21.95" customHeight="1" x14ac:dyDescent="0.25">
      <c r="A209" s="17"/>
      <c r="B209" s="180"/>
      <c r="C209" s="138">
        <v>0</v>
      </c>
      <c r="D209" s="108">
        <v>2024</v>
      </c>
      <c r="E209" s="105">
        <f t="shared" si="8"/>
        <v>0</v>
      </c>
      <c r="F209" s="122">
        <v>0</v>
      </c>
      <c r="G209" s="105">
        <v>0</v>
      </c>
      <c r="H209" s="105">
        <v>0</v>
      </c>
      <c r="I209" s="105">
        <v>0</v>
      </c>
      <c r="J209" s="105">
        <v>0</v>
      </c>
      <c r="K209" s="165"/>
      <c r="L209" s="166"/>
    </row>
    <row r="210" spans="1:12" ht="21.95" customHeight="1" x14ac:dyDescent="0.25">
      <c r="A210" s="17"/>
      <c r="B210" s="180"/>
      <c r="C210" s="138">
        <v>0</v>
      </c>
      <c r="D210" s="108">
        <v>2025</v>
      </c>
      <c r="E210" s="105">
        <f t="shared" si="8"/>
        <v>0</v>
      </c>
      <c r="F210" s="122">
        <v>0</v>
      </c>
      <c r="G210" s="105">
        <v>0</v>
      </c>
      <c r="H210" s="105">
        <v>0</v>
      </c>
      <c r="I210" s="105">
        <v>0</v>
      </c>
      <c r="J210" s="105">
        <v>0</v>
      </c>
      <c r="K210" s="165"/>
      <c r="L210" s="166"/>
    </row>
    <row r="211" spans="1:12" ht="21.95" customHeight="1" x14ac:dyDescent="0.25">
      <c r="A211" s="31"/>
      <c r="B211" s="180"/>
      <c r="C211" s="138"/>
      <c r="D211" s="181">
        <v>2026</v>
      </c>
      <c r="E211" s="105">
        <f t="shared" si="8"/>
        <v>0</v>
      </c>
      <c r="F211" s="122">
        <v>0</v>
      </c>
      <c r="G211" s="105">
        <v>0</v>
      </c>
      <c r="H211" s="105">
        <v>0</v>
      </c>
      <c r="I211" s="105">
        <v>0</v>
      </c>
      <c r="J211" s="105">
        <v>0</v>
      </c>
      <c r="K211" s="120"/>
      <c r="L211" s="121"/>
    </row>
    <row r="212" spans="1:12" ht="21.95" customHeight="1" x14ac:dyDescent="0.25">
      <c r="A212" s="17"/>
      <c r="B212" s="198" t="s">
        <v>51</v>
      </c>
      <c r="C212" s="187">
        <v>0</v>
      </c>
      <c r="D212" s="118">
        <v>2018</v>
      </c>
      <c r="E212" s="119">
        <f t="shared" si="8"/>
        <v>39824.9</v>
      </c>
      <c r="F212" s="119">
        <v>0</v>
      </c>
      <c r="G212" s="119">
        <v>0</v>
      </c>
      <c r="H212" s="119">
        <v>0</v>
      </c>
      <c r="I212" s="119">
        <v>0</v>
      </c>
      <c r="J212" s="119">
        <v>39824.9</v>
      </c>
      <c r="K212" s="165"/>
      <c r="L212" s="166"/>
    </row>
    <row r="213" spans="1:12" ht="21.95" customHeight="1" x14ac:dyDescent="0.25">
      <c r="A213" s="17"/>
      <c r="B213" s="180"/>
      <c r="C213" s="136">
        <v>0</v>
      </c>
      <c r="D213" s="104">
        <v>2019</v>
      </c>
      <c r="E213" s="105">
        <f t="shared" si="8"/>
        <v>39150</v>
      </c>
      <c r="F213" s="105">
        <v>0</v>
      </c>
      <c r="G213" s="105">
        <v>0</v>
      </c>
      <c r="H213" s="105">
        <v>0</v>
      </c>
      <c r="I213" s="105">
        <v>0</v>
      </c>
      <c r="J213" s="105">
        <v>39150</v>
      </c>
      <c r="K213" s="165"/>
      <c r="L213" s="166"/>
    </row>
    <row r="214" spans="1:12" ht="21.95" customHeight="1" x14ac:dyDescent="0.25">
      <c r="A214" s="17"/>
      <c r="B214" s="180"/>
      <c r="C214" s="136">
        <v>0</v>
      </c>
      <c r="D214" s="108">
        <v>2020</v>
      </c>
      <c r="E214" s="105">
        <f t="shared" si="8"/>
        <v>41017</v>
      </c>
      <c r="F214" s="122">
        <v>0</v>
      </c>
      <c r="G214" s="105">
        <v>0</v>
      </c>
      <c r="H214" s="105">
        <v>0</v>
      </c>
      <c r="I214" s="105">
        <v>0</v>
      </c>
      <c r="J214" s="105">
        <v>41017</v>
      </c>
      <c r="K214" s="165"/>
      <c r="L214" s="166"/>
    </row>
    <row r="215" spans="1:12" ht="21.95" customHeight="1" x14ac:dyDescent="0.25">
      <c r="A215" s="17"/>
      <c r="B215" s="180"/>
      <c r="C215" s="138">
        <v>0</v>
      </c>
      <c r="D215" s="108">
        <v>2021</v>
      </c>
      <c r="E215" s="105">
        <f t="shared" si="8"/>
        <v>22420</v>
      </c>
      <c r="F215" s="122">
        <v>0</v>
      </c>
      <c r="G215" s="105">
        <v>0</v>
      </c>
      <c r="H215" s="105">
        <v>0</v>
      </c>
      <c r="I215" s="105">
        <v>0</v>
      </c>
      <c r="J215" s="105">
        <v>22420</v>
      </c>
      <c r="K215" s="165"/>
      <c r="L215" s="166"/>
    </row>
    <row r="216" spans="1:12" ht="21.95" customHeight="1" x14ac:dyDescent="0.25">
      <c r="A216" s="17"/>
      <c r="B216" s="180"/>
      <c r="C216" s="138">
        <v>0</v>
      </c>
      <c r="D216" s="108">
        <v>2022</v>
      </c>
      <c r="E216" s="105">
        <f t="shared" si="8"/>
        <v>25420</v>
      </c>
      <c r="F216" s="122">
        <v>0</v>
      </c>
      <c r="G216" s="105">
        <v>0</v>
      </c>
      <c r="H216" s="105">
        <v>0</v>
      </c>
      <c r="I216" s="105">
        <v>0</v>
      </c>
      <c r="J216" s="105">
        <v>25420</v>
      </c>
      <c r="K216" s="165"/>
      <c r="L216" s="166"/>
    </row>
    <row r="217" spans="1:12" ht="21.95" customHeight="1" x14ac:dyDescent="0.25">
      <c r="A217" s="17"/>
      <c r="B217" s="180"/>
      <c r="C217" s="138">
        <v>0</v>
      </c>
      <c r="D217" s="108">
        <v>2023</v>
      </c>
      <c r="E217" s="105">
        <f t="shared" si="8"/>
        <v>27000</v>
      </c>
      <c r="F217" s="122">
        <v>0</v>
      </c>
      <c r="G217" s="105">
        <v>0</v>
      </c>
      <c r="H217" s="105">
        <v>0</v>
      </c>
      <c r="I217" s="105">
        <v>0</v>
      </c>
      <c r="J217" s="105">
        <f>25420+1580</f>
        <v>27000</v>
      </c>
      <c r="K217" s="165"/>
      <c r="L217" s="166"/>
    </row>
    <row r="218" spans="1:12" ht="21.95" customHeight="1" x14ac:dyDescent="0.25">
      <c r="A218" s="17"/>
      <c r="B218" s="180"/>
      <c r="C218" s="138">
        <v>0</v>
      </c>
      <c r="D218" s="108">
        <v>2024</v>
      </c>
      <c r="E218" s="105">
        <f t="shared" si="8"/>
        <v>47000</v>
      </c>
      <c r="F218" s="122">
        <v>0</v>
      </c>
      <c r="G218" s="105">
        <v>0</v>
      </c>
      <c r="H218" s="105">
        <v>0</v>
      </c>
      <c r="I218" s="105">
        <v>0</v>
      </c>
      <c r="J218" s="105">
        <f>27000+20000</f>
        <v>47000</v>
      </c>
      <c r="K218" s="165"/>
      <c r="L218" s="166"/>
    </row>
    <row r="219" spans="1:12" ht="21.95" customHeight="1" x14ac:dyDescent="0.25">
      <c r="A219" s="17"/>
      <c r="B219" s="180"/>
      <c r="C219" s="138">
        <v>0</v>
      </c>
      <c r="D219" s="108">
        <v>2025</v>
      </c>
      <c r="E219" s="105">
        <f t="shared" si="8"/>
        <v>27000</v>
      </c>
      <c r="F219" s="122">
        <v>0</v>
      </c>
      <c r="G219" s="105">
        <v>0</v>
      </c>
      <c r="H219" s="105">
        <v>0</v>
      </c>
      <c r="I219" s="105">
        <v>0</v>
      </c>
      <c r="J219" s="105">
        <v>27000</v>
      </c>
      <c r="K219" s="165"/>
      <c r="L219" s="166"/>
    </row>
    <row r="220" spans="1:12" ht="21.95" customHeight="1" thickBot="1" x14ac:dyDescent="0.3">
      <c r="A220" s="31"/>
      <c r="B220" s="197"/>
      <c r="C220" s="148"/>
      <c r="D220" s="181">
        <v>2026</v>
      </c>
      <c r="E220" s="105">
        <f t="shared" si="8"/>
        <v>27000</v>
      </c>
      <c r="F220" s="122">
        <v>0</v>
      </c>
      <c r="G220" s="105">
        <v>0</v>
      </c>
      <c r="H220" s="105">
        <v>0</v>
      </c>
      <c r="I220" s="105">
        <v>0</v>
      </c>
      <c r="J220" s="105">
        <v>27000</v>
      </c>
      <c r="K220" s="120"/>
      <c r="L220" s="121"/>
    </row>
    <row r="221" spans="1:12" ht="21.95" customHeight="1" x14ac:dyDescent="0.25">
      <c r="A221" s="34" t="s">
        <v>52</v>
      </c>
      <c r="B221" s="180" t="s">
        <v>53</v>
      </c>
      <c r="C221" s="134">
        <v>0</v>
      </c>
      <c r="D221" s="118">
        <v>2018</v>
      </c>
      <c r="E221" s="119">
        <f t="shared" si="8"/>
        <v>44244.2</v>
      </c>
      <c r="F221" s="119">
        <v>0</v>
      </c>
      <c r="G221" s="119">
        <v>0</v>
      </c>
      <c r="H221" s="119">
        <f>H230+H239+H260+H269+H278+H287</f>
        <v>44244.2</v>
      </c>
      <c r="I221" s="119">
        <v>0</v>
      </c>
      <c r="J221" s="119">
        <v>0</v>
      </c>
      <c r="K221" s="120" t="s">
        <v>183</v>
      </c>
      <c r="L221" s="121" t="s">
        <v>31</v>
      </c>
    </row>
    <row r="222" spans="1:12" ht="21.95" customHeight="1" x14ac:dyDescent="0.25">
      <c r="A222" s="35"/>
      <c r="B222" s="180"/>
      <c r="C222" s="136">
        <v>0</v>
      </c>
      <c r="D222" s="104">
        <v>2019</v>
      </c>
      <c r="E222" s="105">
        <f t="shared" si="8"/>
        <v>47609.9</v>
      </c>
      <c r="F222" s="105">
        <v>0</v>
      </c>
      <c r="G222" s="105">
        <v>0</v>
      </c>
      <c r="H222" s="105">
        <f>H231+H240+H261+H270+H279+H288</f>
        <v>47609.9</v>
      </c>
      <c r="I222" s="105">
        <v>0</v>
      </c>
      <c r="J222" s="105">
        <v>0</v>
      </c>
      <c r="K222" s="106"/>
      <c r="L222" s="107"/>
    </row>
    <row r="223" spans="1:12" ht="21.95" customHeight="1" x14ac:dyDescent="0.25">
      <c r="A223" s="35"/>
      <c r="B223" s="180"/>
      <c r="C223" s="136">
        <v>0</v>
      </c>
      <c r="D223" s="108">
        <v>2020</v>
      </c>
      <c r="E223" s="105">
        <f t="shared" si="8"/>
        <v>51076.5</v>
      </c>
      <c r="F223" s="122">
        <v>0</v>
      </c>
      <c r="G223" s="105">
        <v>0</v>
      </c>
      <c r="H223" s="105">
        <f>H232+H241+H262+H271+H280+H289</f>
        <v>51076.5</v>
      </c>
      <c r="I223" s="105">
        <v>0</v>
      </c>
      <c r="J223" s="105">
        <v>0</v>
      </c>
      <c r="K223" s="106"/>
      <c r="L223" s="107"/>
    </row>
    <row r="224" spans="1:12" ht="21.95" customHeight="1" x14ac:dyDescent="0.25">
      <c r="A224" s="35"/>
      <c r="B224" s="180"/>
      <c r="C224" s="138">
        <v>0</v>
      </c>
      <c r="D224" s="108">
        <v>2021</v>
      </c>
      <c r="E224" s="105">
        <f t="shared" si="8"/>
        <v>63313.9</v>
      </c>
      <c r="F224" s="122">
        <v>0</v>
      </c>
      <c r="G224" s="105">
        <v>0</v>
      </c>
      <c r="H224" s="105">
        <f>H233+H242+H263+H272+H281+H290</f>
        <v>63313.9</v>
      </c>
      <c r="I224" s="105">
        <v>0</v>
      </c>
      <c r="J224" s="105">
        <v>0</v>
      </c>
      <c r="K224" s="106"/>
      <c r="L224" s="107"/>
    </row>
    <row r="225" spans="1:13" ht="21.95" customHeight="1" x14ac:dyDescent="0.25">
      <c r="A225" s="35"/>
      <c r="B225" s="180"/>
      <c r="C225" s="138">
        <v>0</v>
      </c>
      <c r="D225" s="108">
        <v>2022</v>
      </c>
      <c r="E225" s="105">
        <f t="shared" si="8"/>
        <v>66304.399999999994</v>
      </c>
      <c r="F225" s="122">
        <v>0</v>
      </c>
      <c r="G225" s="105">
        <v>0</v>
      </c>
      <c r="H225" s="105">
        <f>H234+H264+H273+H282+H291</f>
        <v>66304.399999999994</v>
      </c>
      <c r="I225" s="105">
        <v>0</v>
      </c>
      <c r="J225" s="105">
        <v>0</v>
      </c>
      <c r="K225" s="106"/>
      <c r="L225" s="107"/>
    </row>
    <row r="226" spans="1:13" ht="21.95" customHeight="1" x14ac:dyDescent="0.25">
      <c r="A226" s="35"/>
      <c r="B226" s="180"/>
      <c r="C226" s="138">
        <v>0</v>
      </c>
      <c r="D226" s="108">
        <v>2023</v>
      </c>
      <c r="E226" s="105">
        <f t="shared" si="8"/>
        <v>70480.800000000003</v>
      </c>
      <c r="F226" s="122">
        <v>0</v>
      </c>
      <c r="G226" s="105">
        <v>0</v>
      </c>
      <c r="H226" s="105">
        <f>H235+H265+H274+H283+H292</f>
        <v>70480.800000000003</v>
      </c>
      <c r="I226" s="105">
        <v>0</v>
      </c>
      <c r="J226" s="105">
        <v>0</v>
      </c>
      <c r="K226" s="106"/>
      <c r="L226" s="107"/>
    </row>
    <row r="227" spans="1:13" ht="21.95" customHeight="1" x14ac:dyDescent="0.25">
      <c r="A227" s="35"/>
      <c r="B227" s="180"/>
      <c r="C227" s="138">
        <v>0</v>
      </c>
      <c r="D227" s="108">
        <v>2024</v>
      </c>
      <c r="E227" s="105">
        <f>F227+G227+H227+J227</f>
        <v>82502.10000000002</v>
      </c>
      <c r="F227" s="122">
        <v>0</v>
      </c>
      <c r="G227" s="105">
        <v>0</v>
      </c>
      <c r="H227" s="105">
        <f>H236+H266+H275+H284+H293</f>
        <v>82502.10000000002</v>
      </c>
      <c r="I227" s="105">
        <v>0</v>
      </c>
      <c r="J227" s="105">
        <v>0</v>
      </c>
      <c r="K227" s="106"/>
      <c r="L227" s="107"/>
    </row>
    <row r="228" spans="1:13" ht="21.95" customHeight="1" x14ac:dyDescent="0.25">
      <c r="A228" s="35"/>
      <c r="B228" s="180"/>
      <c r="C228" s="138">
        <v>0</v>
      </c>
      <c r="D228" s="108">
        <v>2025</v>
      </c>
      <c r="E228" s="105">
        <f t="shared" si="8"/>
        <v>78606.700000000012</v>
      </c>
      <c r="F228" s="122">
        <v>0</v>
      </c>
      <c r="G228" s="105">
        <v>0</v>
      </c>
      <c r="H228" s="105">
        <f>H237+H267+H276+H285+H294</f>
        <v>78606.700000000012</v>
      </c>
      <c r="I228" s="105">
        <v>0</v>
      </c>
      <c r="J228" s="105">
        <v>0</v>
      </c>
      <c r="K228" s="106"/>
      <c r="L228" s="107"/>
    </row>
    <row r="229" spans="1:13" ht="21.95" customHeight="1" x14ac:dyDescent="0.25">
      <c r="A229" s="35"/>
      <c r="B229" s="180"/>
      <c r="C229" s="138"/>
      <c r="D229" s="181">
        <v>2026</v>
      </c>
      <c r="E229" s="105">
        <f t="shared" si="8"/>
        <v>77606.100000000006</v>
      </c>
      <c r="F229" s="122">
        <v>0</v>
      </c>
      <c r="G229" s="105">
        <v>0</v>
      </c>
      <c r="H229" s="105">
        <f>H238+H268+H277+H286+H295</f>
        <v>77606.100000000006</v>
      </c>
      <c r="I229" s="105">
        <v>0</v>
      </c>
      <c r="J229" s="105">
        <v>0</v>
      </c>
      <c r="K229" s="106"/>
      <c r="L229" s="107"/>
    </row>
    <row r="230" spans="1:13" ht="21.95" customHeight="1" x14ac:dyDescent="0.25">
      <c r="A230" s="35"/>
      <c r="B230" s="180" t="s">
        <v>54</v>
      </c>
      <c r="C230" s="102" t="e">
        <f>#REF!+#REF!+#REF!+#REF!+#REF!+#REF!+#REF!+#REF!</f>
        <v>#REF!</v>
      </c>
      <c r="D230" s="104">
        <v>2018</v>
      </c>
      <c r="E230" s="105">
        <f t="shared" si="8"/>
        <v>44244.2</v>
      </c>
      <c r="F230" s="105">
        <v>0</v>
      </c>
      <c r="G230" s="105">
        <v>0</v>
      </c>
      <c r="H230" s="105">
        <v>44244.2</v>
      </c>
      <c r="I230" s="105">
        <v>0</v>
      </c>
      <c r="J230" s="105">
        <v>0</v>
      </c>
      <c r="K230" s="106"/>
      <c r="L230" s="107"/>
    </row>
    <row r="231" spans="1:13" ht="21.95" customHeight="1" x14ac:dyDescent="0.25">
      <c r="A231" s="35"/>
      <c r="B231" s="180"/>
      <c r="C231" s="102"/>
      <c r="D231" s="104">
        <v>2019</v>
      </c>
      <c r="E231" s="105">
        <f t="shared" si="8"/>
        <v>47609.9</v>
      </c>
      <c r="F231" s="105">
        <v>0</v>
      </c>
      <c r="G231" s="105">
        <v>0</v>
      </c>
      <c r="H231" s="105">
        <v>47609.9</v>
      </c>
      <c r="I231" s="105">
        <v>0</v>
      </c>
      <c r="J231" s="105">
        <v>0</v>
      </c>
      <c r="K231" s="106"/>
      <c r="L231" s="107"/>
    </row>
    <row r="232" spans="1:13" ht="21.95" customHeight="1" x14ac:dyDescent="0.25">
      <c r="A232" s="35"/>
      <c r="B232" s="180"/>
      <c r="C232" s="102"/>
      <c r="D232" s="108">
        <v>2020</v>
      </c>
      <c r="E232" s="105">
        <f t="shared" si="8"/>
        <v>49767.7</v>
      </c>
      <c r="F232" s="122">
        <v>0</v>
      </c>
      <c r="G232" s="105">
        <v>0</v>
      </c>
      <c r="H232" s="105">
        <v>49767.7</v>
      </c>
      <c r="I232" s="105">
        <v>0</v>
      </c>
      <c r="J232" s="105">
        <v>0</v>
      </c>
      <c r="K232" s="106"/>
      <c r="L232" s="107"/>
    </row>
    <row r="233" spans="1:13" ht="21.95" customHeight="1" x14ac:dyDescent="0.25">
      <c r="A233" s="35"/>
      <c r="B233" s="180"/>
      <c r="C233" s="102"/>
      <c r="D233" s="108">
        <v>2021</v>
      </c>
      <c r="E233" s="105">
        <f t="shared" si="8"/>
        <v>49052.9</v>
      </c>
      <c r="F233" s="122">
        <v>0</v>
      </c>
      <c r="G233" s="105">
        <v>0</v>
      </c>
      <c r="H233" s="105">
        <v>49052.9</v>
      </c>
      <c r="I233" s="105">
        <v>0</v>
      </c>
      <c r="J233" s="105">
        <v>0</v>
      </c>
      <c r="K233" s="106"/>
      <c r="L233" s="107"/>
    </row>
    <row r="234" spans="1:13" ht="21.95" customHeight="1" x14ac:dyDescent="0.25">
      <c r="A234" s="35"/>
      <c r="B234" s="180"/>
      <c r="C234" s="102"/>
      <c r="D234" s="108">
        <v>2022</v>
      </c>
      <c r="E234" s="105">
        <f t="shared" si="8"/>
        <v>64392.5</v>
      </c>
      <c r="F234" s="122">
        <v>0</v>
      </c>
      <c r="G234" s="105">
        <v>0</v>
      </c>
      <c r="H234" s="105">
        <f>56918.6-671.6+240.5+H243+459.1+200.4-70-2412.3+1746.8</f>
        <v>64392.5</v>
      </c>
      <c r="I234" s="105">
        <v>0</v>
      </c>
      <c r="J234" s="105">
        <v>0</v>
      </c>
      <c r="K234" s="106"/>
      <c r="L234" s="107"/>
    </row>
    <row r="235" spans="1:13" ht="21.95" customHeight="1" x14ac:dyDescent="0.25">
      <c r="A235" s="35"/>
      <c r="B235" s="180"/>
      <c r="C235" s="102"/>
      <c r="D235" s="108">
        <v>2023</v>
      </c>
      <c r="E235" s="105">
        <f t="shared" si="8"/>
        <v>67615.600000000006</v>
      </c>
      <c r="F235" s="122">
        <v>0</v>
      </c>
      <c r="G235" s="105">
        <v>0</v>
      </c>
      <c r="H235" s="105">
        <f>63201.8+H244+H253</f>
        <v>67615.600000000006</v>
      </c>
      <c r="I235" s="105">
        <v>0</v>
      </c>
      <c r="J235" s="105">
        <v>0</v>
      </c>
      <c r="K235" s="106"/>
      <c r="L235" s="107"/>
      <c r="M235" s="55">
        <f>24847.2+11378.4+21794.2+4153.8+2807.3</f>
        <v>64980.900000000009</v>
      </c>
    </row>
    <row r="236" spans="1:13" ht="21.95" customHeight="1" x14ac:dyDescent="0.25">
      <c r="A236" s="35"/>
      <c r="B236" s="180"/>
      <c r="C236" s="102"/>
      <c r="D236" s="108">
        <v>2024</v>
      </c>
      <c r="E236" s="105">
        <f t="shared" si="8"/>
        <v>79336.100000000006</v>
      </c>
      <c r="F236" s="122">
        <v>0</v>
      </c>
      <c r="G236" s="105">
        <v>0</v>
      </c>
      <c r="H236" s="123">
        <f>67808.4+920+870.1+H257</f>
        <v>79336.100000000006</v>
      </c>
      <c r="I236" s="105">
        <v>0</v>
      </c>
      <c r="J236" s="105">
        <v>0</v>
      </c>
      <c r="K236" s="106"/>
      <c r="L236" s="107"/>
    </row>
    <row r="237" spans="1:13" ht="21.95" customHeight="1" x14ac:dyDescent="0.25">
      <c r="A237" s="35"/>
      <c r="B237" s="180"/>
      <c r="C237" s="102"/>
      <c r="D237" s="108">
        <v>2025</v>
      </c>
      <c r="E237" s="105">
        <f t="shared" si="8"/>
        <v>76740.100000000006</v>
      </c>
      <c r="F237" s="122">
        <v>0</v>
      </c>
      <c r="G237" s="105">
        <v>0</v>
      </c>
      <c r="H237" s="123">
        <f>76740.1</f>
        <v>76740.100000000006</v>
      </c>
      <c r="I237" s="105">
        <v>0</v>
      </c>
      <c r="J237" s="105">
        <v>0</v>
      </c>
      <c r="K237" s="106"/>
      <c r="L237" s="107"/>
    </row>
    <row r="238" spans="1:13" ht="21.95" customHeight="1" x14ac:dyDescent="0.25">
      <c r="A238" s="35"/>
      <c r="B238" s="197"/>
      <c r="C238" s="333"/>
      <c r="D238" s="142">
        <v>2026</v>
      </c>
      <c r="E238" s="143">
        <f t="shared" si="8"/>
        <v>75740.100000000006</v>
      </c>
      <c r="F238" s="144">
        <v>0</v>
      </c>
      <c r="G238" s="143">
        <v>0</v>
      </c>
      <c r="H238" s="145">
        <f>75740.1</f>
        <v>75740.100000000006</v>
      </c>
      <c r="I238" s="143">
        <v>0</v>
      </c>
      <c r="J238" s="143">
        <v>0</v>
      </c>
      <c r="K238" s="146"/>
      <c r="L238" s="147"/>
    </row>
    <row r="239" spans="1:13" ht="21.95" customHeight="1" x14ac:dyDescent="0.25">
      <c r="A239" s="328"/>
      <c r="B239" s="180" t="s">
        <v>55</v>
      </c>
      <c r="C239" s="136">
        <v>0</v>
      </c>
      <c r="D239" s="104">
        <v>2018</v>
      </c>
      <c r="E239" s="105">
        <f t="shared" si="8"/>
        <v>0</v>
      </c>
      <c r="F239" s="105">
        <v>0</v>
      </c>
      <c r="G239" s="105">
        <v>0</v>
      </c>
      <c r="H239" s="105">
        <v>0</v>
      </c>
      <c r="I239" s="105">
        <v>0</v>
      </c>
      <c r="J239" s="105">
        <v>0</v>
      </c>
      <c r="K239" s="146"/>
      <c r="L239" s="146"/>
    </row>
    <row r="240" spans="1:13" ht="21.95" customHeight="1" x14ac:dyDescent="0.25">
      <c r="A240" s="329"/>
      <c r="B240" s="180"/>
      <c r="C240" s="136">
        <v>0</v>
      </c>
      <c r="D240" s="104">
        <v>2019</v>
      </c>
      <c r="E240" s="105">
        <f t="shared" ref="E240:E323" si="9">F240+G240+H240+J240</f>
        <v>0</v>
      </c>
      <c r="F240" s="105">
        <v>0</v>
      </c>
      <c r="G240" s="105">
        <v>0</v>
      </c>
      <c r="H240" s="105">
        <v>0</v>
      </c>
      <c r="I240" s="105">
        <v>0</v>
      </c>
      <c r="J240" s="105">
        <v>0</v>
      </c>
      <c r="K240" s="165"/>
      <c r="L240" s="165"/>
    </row>
    <row r="241" spans="1:12" ht="21.95" customHeight="1" x14ac:dyDescent="0.25">
      <c r="A241" s="329"/>
      <c r="B241" s="180"/>
      <c r="C241" s="136">
        <v>0</v>
      </c>
      <c r="D241" s="108">
        <v>2020</v>
      </c>
      <c r="E241" s="105">
        <f t="shared" si="9"/>
        <v>1304</v>
      </c>
      <c r="F241" s="122">
        <v>0</v>
      </c>
      <c r="G241" s="105">
        <v>0</v>
      </c>
      <c r="H241" s="105">
        <v>1304</v>
      </c>
      <c r="I241" s="105">
        <v>0</v>
      </c>
      <c r="J241" s="105">
        <v>0</v>
      </c>
      <c r="K241" s="165"/>
      <c r="L241" s="165"/>
    </row>
    <row r="242" spans="1:12" ht="21.95" customHeight="1" x14ac:dyDescent="0.25">
      <c r="A242" s="329"/>
      <c r="B242" s="180"/>
      <c r="C242" s="138">
        <v>0</v>
      </c>
      <c r="D242" s="108">
        <v>2021</v>
      </c>
      <c r="E242" s="105">
        <f t="shared" si="9"/>
        <v>8328.6</v>
      </c>
      <c r="F242" s="122">
        <v>0</v>
      </c>
      <c r="G242" s="105">
        <v>0</v>
      </c>
      <c r="H242" s="105">
        <v>8328.6</v>
      </c>
      <c r="I242" s="105">
        <v>0</v>
      </c>
      <c r="J242" s="105">
        <v>0</v>
      </c>
      <c r="K242" s="165"/>
      <c r="L242" s="165"/>
    </row>
    <row r="243" spans="1:12" ht="21.95" customHeight="1" x14ac:dyDescent="0.25">
      <c r="A243" s="329"/>
      <c r="B243" s="180"/>
      <c r="C243" s="138">
        <v>0</v>
      </c>
      <c r="D243" s="108">
        <v>2022</v>
      </c>
      <c r="E243" s="105">
        <f t="shared" si="9"/>
        <v>7981</v>
      </c>
      <c r="F243" s="122">
        <v>0</v>
      </c>
      <c r="G243" s="105">
        <v>0</v>
      </c>
      <c r="H243" s="105">
        <f>8640.5-459.1-200.4</f>
        <v>7981</v>
      </c>
      <c r="I243" s="105">
        <v>0</v>
      </c>
      <c r="J243" s="105">
        <v>0</v>
      </c>
      <c r="K243" s="165"/>
      <c r="L243" s="165"/>
    </row>
    <row r="244" spans="1:12" ht="21.95" customHeight="1" x14ac:dyDescent="0.25">
      <c r="A244" s="329"/>
      <c r="B244" s="180"/>
      <c r="C244" s="138">
        <v>0</v>
      </c>
      <c r="D244" s="108">
        <v>2023</v>
      </c>
      <c r="E244" s="105">
        <f t="shared" si="9"/>
        <v>882.80000000000018</v>
      </c>
      <c r="F244" s="122">
        <v>0</v>
      </c>
      <c r="G244" s="105">
        <v>0</v>
      </c>
      <c r="H244" s="105">
        <f>4413.8-H253</f>
        <v>882.80000000000018</v>
      </c>
      <c r="I244" s="105">
        <v>0</v>
      </c>
      <c r="J244" s="105">
        <v>0</v>
      </c>
      <c r="K244" s="165"/>
      <c r="L244" s="165"/>
    </row>
    <row r="245" spans="1:12" ht="21.95" customHeight="1" x14ac:dyDescent="0.25">
      <c r="A245" s="329"/>
      <c r="B245" s="180"/>
      <c r="C245" s="138">
        <v>0</v>
      </c>
      <c r="D245" s="108">
        <v>2024</v>
      </c>
      <c r="E245" s="105">
        <f t="shared" si="9"/>
        <v>0</v>
      </c>
      <c r="F245" s="122">
        <v>0</v>
      </c>
      <c r="G245" s="105">
        <v>0</v>
      </c>
      <c r="H245" s="123">
        <v>0</v>
      </c>
      <c r="I245" s="105">
        <v>0</v>
      </c>
      <c r="J245" s="105">
        <v>0</v>
      </c>
      <c r="K245" s="165"/>
      <c r="L245" s="165"/>
    </row>
    <row r="246" spans="1:12" ht="21.95" customHeight="1" x14ac:dyDescent="0.25">
      <c r="A246" s="329"/>
      <c r="B246" s="180"/>
      <c r="C246" s="138">
        <v>0</v>
      </c>
      <c r="D246" s="108">
        <v>2025</v>
      </c>
      <c r="E246" s="105">
        <f>F246+G246+H246+J246</f>
        <v>0</v>
      </c>
      <c r="F246" s="122">
        <v>0</v>
      </c>
      <c r="G246" s="105">
        <v>0</v>
      </c>
      <c r="H246" s="123">
        <v>0</v>
      </c>
      <c r="I246" s="105">
        <v>0</v>
      </c>
      <c r="J246" s="105">
        <v>0</v>
      </c>
      <c r="K246" s="165"/>
      <c r="L246" s="165"/>
    </row>
    <row r="247" spans="1:12" ht="21.95" customHeight="1" x14ac:dyDescent="0.25">
      <c r="A247" s="330"/>
      <c r="B247" s="180"/>
      <c r="C247" s="138"/>
      <c r="D247" s="181">
        <v>2026</v>
      </c>
      <c r="E247" s="105">
        <f>F247+G247+H247+J247</f>
        <v>0</v>
      </c>
      <c r="F247" s="122">
        <v>0</v>
      </c>
      <c r="G247" s="105">
        <v>0</v>
      </c>
      <c r="H247" s="123">
        <v>0</v>
      </c>
      <c r="I247" s="105">
        <v>0</v>
      </c>
      <c r="J247" s="105">
        <v>0</v>
      </c>
      <c r="K247" s="120"/>
      <c r="L247" s="120"/>
    </row>
    <row r="248" spans="1:12" ht="20.45" customHeight="1" x14ac:dyDescent="0.25">
      <c r="A248" s="331" t="s">
        <v>52</v>
      </c>
      <c r="B248" s="180" t="s">
        <v>299</v>
      </c>
      <c r="C248" s="136">
        <v>0</v>
      </c>
      <c r="D248" s="104">
        <v>2018</v>
      </c>
      <c r="E248" s="105">
        <f t="shared" ref="E248:E253" si="10">F248+G248+H248+J248</f>
        <v>0</v>
      </c>
      <c r="F248" s="105">
        <v>0</v>
      </c>
      <c r="G248" s="105">
        <v>0</v>
      </c>
      <c r="H248" s="105">
        <v>0</v>
      </c>
      <c r="I248" s="105">
        <v>0</v>
      </c>
      <c r="J248" s="105">
        <v>0</v>
      </c>
      <c r="K248" s="146"/>
      <c r="L248" s="146"/>
    </row>
    <row r="249" spans="1:12" ht="20.45" customHeight="1" x14ac:dyDescent="0.25">
      <c r="A249" s="332"/>
      <c r="B249" s="180"/>
      <c r="C249" s="136">
        <v>0</v>
      </c>
      <c r="D249" s="104">
        <v>2019</v>
      </c>
      <c r="E249" s="105">
        <f t="shared" si="10"/>
        <v>0</v>
      </c>
      <c r="F249" s="105">
        <v>0</v>
      </c>
      <c r="G249" s="105">
        <v>0</v>
      </c>
      <c r="H249" s="105">
        <v>0</v>
      </c>
      <c r="I249" s="105">
        <v>0</v>
      </c>
      <c r="J249" s="105">
        <v>0</v>
      </c>
      <c r="K249" s="165"/>
      <c r="L249" s="165"/>
    </row>
    <row r="250" spans="1:12" ht="20.45" customHeight="1" x14ac:dyDescent="0.25">
      <c r="A250" s="332"/>
      <c r="B250" s="180"/>
      <c r="C250" s="136">
        <v>0</v>
      </c>
      <c r="D250" s="108">
        <v>2020</v>
      </c>
      <c r="E250" s="105">
        <f t="shared" si="10"/>
        <v>0</v>
      </c>
      <c r="F250" s="122">
        <v>0</v>
      </c>
      <c r="G250" s="105">
        <v>0</v>
      </c>
      <c r="H250" s="105">
        <v>0</v>
      </c>
      <c r="I250" s="105">
        <v>0</v>
      </c>
      <c r="J250" s="105">
        <v>0</v>
      </c>
      <c r="K250" s="165"/>
      <c r="L250" s="165"/>
    </row>
    <row r="251" spans="1:12" ht="20.45" customHeight="1" x14ac:dyDescent="0.25">
      <c r="A251" s="332"/>
      <c r="B251" s="180"/>
      <c r="C251" s="138">
        <v>0</v>
      </c>
      <c r="D251" s="108">
        <v>2021</v>
      </c>
      <c r="E251" s="105">
        <f t="shared" si="10"/>
        <v>0</v>
      </c>
      <c r="F251" s="122">
        <v>0</v>
      </c>
      <c r="G251" s="105">
        <v>0</v>
      </c>
      <c r="H251" s="105">
        <v>0</v>
      </c>
      <c r="I251" s="105">
        <v>0</v>
      </c>
      <c r="J251" s="105">
        <v>0</v>
      </c>
      <c r="K251" s="165"/>
      <c r="L251" s="165"/>
    </row>
    <row r="252" spans="1:12" ht="20.45" customHeight="1" x14ac:dyDescent="0.25">
      <c r="A252" s="332"/>
      <c r="B252" s="180"/>
      <c r="C252" s="138">
        <v>0</v>
      </c>
      <c r="D252" s="108">
        <v>2022</v>
      </c>
      <c r="E252" s="105">
        <f t="shared" si="10"/>
        <v>0</v>
      </c>
      <c r="F252" s="122">
        <v>0</v>
      </c>
      <c r="G252" s="105">
        <v>0</v>
      </c>
      <c r="H252" s="105">
        <v>0</v>
      </c>
      <c r="I252" s="105">
        <v>0</v>
      </c>
      <c r="J252" s="105">
        <v>0</v>
      </c>
      <c r="K252" s="165"/>
      <c r="L252" s="165"/>
    </row>
    <row r="253" spans="1:12" ht="20.45" customHeight="1" x14ac:dyDescent="0.25">
      <c r="A253" s="332"/>
      <c r="B253" s="180"/>
      <c r="C253" s="138">
        <v>0</v>
      </c>
      <c r="D253" s="108">
        <v>2023</v>
      </c>
      <c r="E253" s="105">
        <f t="shared" si="10"/>
        <v>3531</v>
      </c>
      <c r="F253" s="122">
        <v>0</v>
      </c>
      <c r="G253" s="105">
        <v>0</v>
      </c>
      <c r="H253" s="105">
        <v>3531</v>
      </c>
      <c r="I253" s="105">
        <v>0</v>
      </c>
      <c r="J253" s="105">
        <v>0</v>
      </c>
      <c r="K253" s="165"/>
      <c r="L253" s="165"/>
    </row>
    <row r="254" spans="1:12" ht="20.45" customHeight="1" x14ac:dyDescent="0.25">
      <c r="A254" s="332"/>
      <c r="B254" s="180"/>
      <c r="C254" s="138">
        <v>0</v>
      </c>
      <c r="D254" s="108">
        <v>2024</v>
      </c>
      <c r="E254" s="105">
        <v>0</v>
      </c>
      <c r="F254" s="122">
        <v>0</v>
      </c>
      <c r="G254" s="105">
        <v>0</v>
      </c>
      <c r="H254" s="105">
        <v>0</v>
      </c>
      <c r="I254" s="105">
        <v>0</v>
      </c>
      <c r="J254" s="105">
        <v>0</v>
      </c>
      <c r="K254" s="165"/>
      <c r="L254" s="165"/>
    </row>
    <row r="255" spans="1:12" ht="20.45" customHeight="1" x14ac:dyDescent="0.25">
      <c r="A255" s="332"/>
      <c r="B255" s="180"/>
      <c r="C255" s="138">
        <v>0</v>
      </c>
      <c r="D255" s="108">
        <v>2025</v>
      </c>
      <c r="E255" s="105">
        <f>F255+G255+H255+J255</f>
        <v>0</v>
      </c>
      <c r="F255" s="122">
        <v>0</v>
      </c>
      <c r="G255" s="105">
        <v>0</v>
      </c>
      <c r="H255" s="105">
        <v>0</v>
      </c>
      <c r="I255" s="105">
        <v>0</v>
      </c>
      <c r="J255" s="105">
        <v>0</v>
      </c>
      <c r="K255" s="165"/>
      <c r="L255" s="165"/>
    </row>
    <row r="256" spans="1:12" ht="20.45" customHeight="1" x14ac:dyDescent="0.25">
      <c r="A256" s="332"/>
      <c r="B256" s="180"/>
      <c r="C256" s="138"/>
      <c r="D256" s="181">
        <v>2026</v>
      </c>
      <c r="E256" s="105">
        <f>F256+G256+H256+J256</f>
        <v>0</v>
      </c>
      <c r="F256" s="122">
        <v>0</v>
      </c>
      <c r="G256" s="105">
        <v>0</v>
      </c>
      <c r="H256" s="105">
        <v>0</v>
      </c>
      <c r="I256" s="105">
        <v>0</v>
      </c>
      <c r="J256" s="105">
        <v>0</v>
      </c>
      <c r="K256" s="165"/>
      <c r="L256" s="165"/>
    </row>
    <row r="257" spans="1:12" ht="20.45" customHeight="1" x14ac:dyDescent="0.25">
      <c r="A257" s="332"/>
      <c r="B257" s="197" t="s">
        <v>329</v>
      </c>
      <c r="C257" s="138"/>
      <c r="D257" s="181">
        <v>2024</v>
      </c>
      <c r="E257" s="105">
        <f>F257+G257+H257+J257</f>
        <v>9737.5999999999985</v>
      </c>
      <c r="F257" s="122">
        <v>0</v>
      </c>
      <c r="G257" s="105">
        <v>0</v>
      </c>
      <c r="H257" s="123">
        <f>7944.6+959.3+1703.8-870.1</f>
        <v>9737.5999999999985</v>
      </c>
      <c r="I257" s="105">
        <v>0</v>
      </c>
      <c r="J257" s="105">
        <v>0</v>
      </c>
      <c r="K257" s="165"/>
      <c r="L257" s="165"/>
    </row>
    <row r="258" spans="1:12" ht="20.45" customHeight="1" x14ac:dyDescent="0.25">
      <c r="A258" s="332"/>
      <c r="B258" s="164"/>
      <c r="C258" s="138"/>
      <c r="D258" s="181">
        <v>2025</v>
      </c>
      <c r="E258" s="105">
        <f>F258+G258+H258+J258</f>
        <v>7944.6</v>
      </c>
      <c r="F258" s="122">
        <v>0</v>
      </c>
      <c r="G258" s="105">
        <v>0</v>
      </c>
      <c r="H258" s="123">
        <v>7944.6</v>
      </c>
      <c r="I258" s="105">
        <v>0</v>
      </c>
      <c r="J258" s="105">
        <v>0</v>
      </c>
      <c r="K258" s="165"/>
      <c r="L258" s="165"/>
    </row>
    <row r="259" spans="1:12" ht="20.45" customHeight="1" x14ac:dyDescent="0.25">
      <c r="A259" s="332"/>
      <c r="B259" s="198"/>
      <c r="C259" s="138"/>
      <c r="D259" s="199">
        <v>2026</v>
      </c>
      <c r="E259" s="105">
        <f>F259+G259+H259+J259</f>
        <v>7944.6</v>
      </c>
      <c r="F259" s="122">
        <v>0</v>
      </c>
      <c r="G259" s="105">
        <v>0</v>
      </c>
      <c r="H259" s="123">
        <v>7944.6</v>
      </c>
      <c r="I259" s="105">
        <v>0</v>
      </c>
      <c r="J259" s="105">
        <v>0</v>
      </c>
      <c r="K259" s="165"/>
      <c r="L259" s="165"/>
    </row>
    <row r="260" spans="1:12" ht="20.45" customHeight="1" x14ac:dyDescent="0.25">
      <c r="A260" s="332"/>
      <c r="B260" s="180" t="s">
        <v>195</v>
      </c>
      <c r="C260" s="136">
        <v>0</v>
      </c>
      <c r="D260" s="104">
        <v>2018</v>
      </c>
      <c r="E260" s="105">
        <f t="shared" si="9"/>
        <v>0</v>
      </c>
      <c r="F260" s="105">
        <v>0</v>
      </c>
      <c r="G260" s="105">
        <v>0</v>
      </c>
      <c r="H260" s="105">
        <v>0</v>
      </c>
      <c r="I260" s="105">
        <v>0</v>
      </c>
      <c r="J260" s="105">
        <v>0</v>
      </c>
      <c r="K260" s="165"/>
      <c r="L260" s="165"/>
    </row>
    <row r="261" spans="1:12" ht="20.45" customHeight="1" x14ac:dyDescent="0.25">
      <c r="A261" s="332"/>
      <c r="B261" s="180"/>
      <c r="C261" s="136">
        <v>0</v>
      </c>
      <c r="D261" s="104">
        <v>2019</v>
      </c>
      <c r="E261" s="105">
        <f t="shared" si="9"/>
        <v>0</v>
      </c>
      <c r="F261" s="105">
        <v>0</v>
      </c>
      <c r="G261" s="105">
        <v>0</v>
      </c>
      <c r="H261" s="105">
        <v>0</v>
      </c>
      <c r="I261" s="105">
        <v>0</v>
      </c>
      <c r="J261" s="105">
        <v>0</v>
      </c>
      <c r="K261" s="165"/>
      <c r="L261" s="165"/>
    </row>
    <row r="262" spans="1:12" ht="20.45" customHeight="1" x14ac:dyDescent="0.25">
      <c r="A262" s="332"/>
      <c r="B262" s="180"/>
      <c r="C262" s="136">
        <v>0</v>
      </c>
      <c r="D262" s="108">
        <v>2020</v>
      </c>
      <c r="E262" s="105">
        <f t="shared" si="9"/>
        <v>0</v>
      </c>
      <c r="F262" s="105">
        <v>0</v>
      </c>
      <c r="G262" s="105">
        <v>0</v>
      </c>
      <c r="H262" s="105">
        <v>0</v>
      </c>
      <c r="I262" s="105">
        <v>0</v>
      </c>
      <c r="J262" s="105">
        <v>0</v>
      </c>
      <c r="K262" s="165"/>
      <c r="L262" s="165"/>
    </row>
    <row r="263" spans="1:12" ht="20.45" customHeight="1" x14ac:dyDescent="0.25">
      <c r="A263" s="332"/>
      <c r="B263" s="180"/>
      <c r="C263" s="138">
        <v>0</v>
      </c>
      <c r="D263" s="108">
        <v>2021</v>
      </c>
      <c r="E263" s="105">
        <f t="shared" si="9"/>
        <v>0</v>
      </c>
      <c r="F263" s="105">
        <v>0</v>
      </c>
      <c r="G263" s="105">
        <v>0</v>
      </c>
      <c r="H263" s="105">
        <v>0</v>
      </c>
      <c r="I263" s="105">
        <v>0</v>
      </c>
      <c r="J263" s="105">
        <v>0</v>
      </c>
      <c r="K263" s="165"/>
      <c r="L263" s="165"/>
    </row>
    <row r="264" spans="1:12" ht="20.45" customHeight="1" x14ac:dyDescent="0.25">
      <c r="A264" s="332"/>
      <c r="B264" s="180"/>
      <c r="C264" s="138">
        <v>0</v>
      </c>
      <c r="D264" s="108">
        <v>2022</v>
      </c>
      <c r="E264" s="105">
        <f t="shared" si="9"/>
        <v>67.099999999999994</v>
      </c>
      <c r="F264" s="105">
        <v>0</v>
      </c>
      <c r="G264" s="105">
        <v>0</v>
      </c>
      <c r="H264" s="105">
        <v>67.099999999999994</v>
      </c>
      <c r="I264" s="105">
        <v>0</v>
      </c>
      <c r="J264" s="105">
        <v>0</v>
      </c>
      <c r="K264" s="165"/>
      <c r="L264" s="165"/>
    </row>
    <row r="265" spans="1:12" ht="20.45" customHeight="1" x14ac:dyDescent="0.25">
      <c r="A265" s="332"/>
      <c r="B265" s="180"/>
      <c r="C265" s="138">
        <v>0</v>
      </c>
      <c r="D265" s="108">
        <v>2023</v>
      </c>
      <c r="E265" s="105">
        <f t="shared" si="9"/>
        <v>150</v>
      </c>
      <c r="F265" s="105">
        <v>0</v>
      </c>
      <c r="G265" s="105">
        <v>0</v>
      </c>
      <c r="H265" s="105">
        <v>150</v>
      </c>
      <c r="I265" s="105">
        <v>0</v>
      </c>
      <c r="J265" s="105">
        <v>0</v>
      </c>
      <c r="K265" s="165"/>
      <c r="L265" s="165"/>
    </row>
    <row r="266" spans="1:12" ht="20.45" customHeight="1" x14ac:dyDescent="0.25">
      <c r="A266" s="332"/>
      <c r="B266" s="180"/>
      <c r="C266" s="138">
        <v>0</v>
      </c>
      <c r="D266" s="108">
        <v>2024</v>
      </c>
      <c r="E266" s="105">
        <f t="shared" si="9"/>
        <v>780.1</v>
      </c>
      <c r="F266" s="105">
        <v>0</v>
      </c>
      <c r="G266" s="105">
        <v>0</v>
      </c>
      <c r="H266" s="123">
        <f>299+80+401.1</f>
        <v>780.1</v>
      </c>
      <c r="I266" s="105">
        <v>0</v>
      </c>
      <c r="J266" s="105">
        <v>0</v>
      </c>
      <c r="K266" s="165"/>
      <c r="L266" s="165"/>
    </row>
    <row r="267" spans="1:12" ht="20.45" customHeight="1" x14ac:dyDescent="0.25">
      <c r="A267" s="332"/>
      <c r="B267" s="180"/>
      <c r="C267" s="138">
        <v>0</v>
      </c>
      <c r="D267" s="108">
        <v>2025</v>
      </c>
      <c r="E267" s="105">
        <f t="shared" si="9"/>
        <v>0</v>
      </c>
      <c r="F267" s="105">
        <v>0</v>
      </c>
      <c r="G267" s="105">
        <v>0</v>
      </c>
      <c r="H267" s="123">
        <v>0</v>
      </c>
      <c r="I267" s="105">
        <v>0</v>
      </c>
      <c r="J267" s="105">
        <v>0</v>
      </c>
      <c r="K267" s="165"/>
      <c r="L267" s="165"/>
    </row>
    <row r="268" spans="1:12" ht="20.45" customHeight="1" x14ac:dyDescent="0.25">
      <c r="A268" s="332"/>
      <c r="B268" s="180"/>
      <c r="C268" s="138"/>
      <c r="D268" s="181">
        <v>2026</v>
      </c>
      <c r="E268" s="105">
        <f t="shared" si="9"/>
        <v>0</v>
      </c>
      <c r="F268" s="105">
        <v>0</v>
      </c>
      <c r="G268" s="105">
        <v>0</v>
      </c>
      <c r="H268" s="123">
        <v>0</v>
      </c>
      <c r="I268" s="105">
        <v>0</v>
      </c>
      <c r="J268" s="105">
        <v>0</v>
      </c>
      <c r="K268" s="165"/>
      <c r="L268" s="165"/>
    </row>
    <row r="269" spans="1:12" ht="20.45" customHeight="1" x14ac:dyDescent="0.25">
      <c r="A269" s="332"/>
      <c r="B269" s="180" t="s">
        <v>207</v>
      </c>
      <c r="C269" s="136">
        <v>0</v>
      </c>
      <c r="D269" s="104">
        <v>2018</v>
      </c>
      <c r="E269" s="105">
        <f t="shared" si="9"/>
        <v>0</v>
      </c>
      <c r="F269" s="105">
        <v>0</v>
      </c>
      <c r="G269" s="105">
        <v>0</v>
      </c>
      <c r="H269" s="105">
        <v>0</v>
      </c>
      <c r="I269" s="105">
        <v>0</v>
      </c>
      <c r="J269" s="105">
        <v>0</v>
      </c>
      <c r="K269" s="165"/>
      <c r="L269" s="165"/>
    </row>
    <row r="270" spans="1:12" ht="20.45" customHeight="1" x14ac:dyDescent="0.25">
      <c r="A270" s="332"/>
      <c r="B270" s="180"/>
      <c r="C270" s="136">
        <v>0</v>
      </c>
      <c r="D270" s="104">
        <v>2019</v>
      </c>
      <c r="E270" s="105">
        <f t="shared" si="9"/>
        <v>0</v>
      </c>
      <c r="F270" s="105">
        <v>0</v>
      </c>
      <c r="G270" s="105">
        <v>0</v>
      </c>
      <c r="H270" s="105">
        <v>0</v>
      </c>
      <c r="I270" s="105">
        <v>0</v>
      </c>
      <c r="J270" s="105">
        <v>0</v>
      </c>
      <c r="K270" s="165"/>
      <c r="L270" s="165"/>
    </row>
    <row r="271" spans="1:12" ht="20.45" customHeight="1" x14ac:dyDescent="0.25">
      <c r="A271" s="332"/>
      <c r="B271" s="180"/>
      <c r="C271" s="136">
        <v>0</v>
      </c>
      <c r="D271" s="108">
        <v>2020</v>
      </c>
      <c r="E271" s="105">
        <f t="shared" si="9"/>
        <v>0</v>
      </c>
      <c r="F271" s="122">
        <v>0</v>
      </c>
      <c r="G271" s="105">
        <v>0</v>
      </c>
      <c r="H271" s="105">
        <v>0</v>
      </c>
      <c r="I271" s="105">
        <v>0</v>
      </c>
      <c r="J271" s="105">
        <v>0</v>
      </c>
      <c r="K271" s="165"/>
      <c r="L271" s="165"/>
    </row>
    <row r="272" spans="1:12" ht="20.45" customHeight="1" x14ac:dyDescent="0.25">
      <c r="A272" s="332"/>
      <c r="B272" s="180"/>
      <c r="C272" s="138">
        <v>0</v>
      </c>
      <c r="D272" s="108">
        <v>2021</v>
      </c>
      <c r="E272" s="105">
        <f t="shared" si="9"/>
        <v>3187.5</v>
      </c>
      <c r="F272" s="122">
        <v>0</v>
      </c>
      <c r="G272" s="105">
        <v>0</v>
      </c>
      <c r="H272" s="105">
        <v>3187.5</v>
      </c>
      <c r="I272" s="105">
        <v>0</v>
      </c>
      <c r="J272" s="105">
        <v>0</v>
      </c>
      <c r="K272" s="165"/>
      <c r="L272" s="165"/>
    </row>
    <row r="273" spans="1:12" ht="20.45" customHeight="1" x14ac:dyDescent="0.25">
      <c r="A273" s="332"/>
      <c r="B273" s="180"/>
      <c r="C273" s="138">
        <v>0</v>
      </c>
      <c r="D273" s="108">
        <v>2022</v>
      </c>
      <c r="E273" s="105">
        <f t="shared" si="9"/>
        <v>0</v>
      </c>
      <c r="F273" s="122">
        <v>0</v>
      </c>
      <c r="G273" s="105">
        <v>0</v>
      </c>
      <c r="H273" s="105">
        <v>0</v>
      </c>
      <c r="I273" s="105">
        <v>0</v>
      </c>
      <c r="J273" s="105">
        <v>0</v>
      </c>
      <c r="K273" s="165"/>
      <c r="L273" s="165"/>
    </row>
    <row r="274" spans="1:12" ht="20.45" customHeight="1" x14ac:dyDescent="0.25">
      <c r="A274" s="332"/>
      <c r="B274" s="180"/>
      <c r="C274" s="138">
        <v>0</v>
      </c>
      <c r="D274" s="108">
        <v>2023</v>
      </c>
      <c r="E274" s="105">
        <f t="shared" si="9"/>
        <v>0</v>
      </c>
      <c r="F274" s="122">
        <v>0</v>
      </c>
      <c r="G274" s="105">
        <v>0</v>
      </c>
      <c r="H274" s="105">
        <v>0</v>
      </c>
      <c r="I274" s="105">
        <v>0</v>
      </c>
      <c r="J274" s="105">
        <v>0</v>
      </c>
      <c r="K274" s="165"/>
      <c r="L274" s="165"/>
    </row>
    <row r="275" spans="1:12" ht="20.45" customHeight="1" x14ac:dyDescent="0.25">
      <c r="A275" s="332"/>
      <c r="B275" s="180"/>
      <c r="C275" s="138">
        <v>0</v>
      </c>
      <c r="D275" s="108">
        <v>2024</v>
      </c>
      <c r="E275" s="105">
        <f t="shared" si="9"/>
        <v>0</v>
      </c>
      <c r="F275" s="122">
        <v>0</v>
      </c>
      <c r="G275" s="105">
        <v>0</v>
      </c>
      <c r="H275" s="105">
        <v>0</v>
      </c>
      <c r="I275" s="105">
        <v>0</v>
      </c>
      <c r="J275" s="105">
        <v>0</v>
      </c>
      <c r="K275" s="165"/>
      <c r="L275" s="165"/>
    </row>
    <row r="276" spans="1:12" ht="20.45" customHeight="1" x14ac:dyDescent="0.25">
      <c r="A276" s="332"/>
      <c r="B276" s="180"/>
      <c r="C276" s="138">
        <v>0</v>
      </c>
      <c r="D276" s="108">
        <v>2025</v>
      </c>
      <c r="E276" s="105">
        <f t="shared" si="9"/>
        <v>0</v>
      </c>
      <c r="F276" s="122">
        <v>0</v>
      </c>
      <c r="G276" s="105">
        <v>0</v>
      </c>
      <c r="H276" s="105">
        <v>0</v>
      </c>
      <c r="I276" s="105">
        <v>0</v>
      </c>
      <c r="J276" s="105">
        <v>0</v>
      </c>
      <c r="K276" s="165"/>
      <c r="L276" s="165"/>
    </row>
    <row r="277" spans="1:12" ht="20.45" customHeight="1" x14ac:dyDescent="0.25">
      <c r="A277" s="332"/>
      <c r="B277" s="180"/>
      <c r="C277" s="138"/>
      <c r="D277" s="181">
        <v>2026</v>
      </c>
      <c r="E277" s="105">
        <f t="shared" si="9"/>
        <v>0</v>
      </c>
      <c r="F277" s="122">
        <v>0</v>
      </c>
      <c r="G277" s="105">
        <v>0</v>
      </c>
      <c r="H277" s="105">
        <v>0</v>
      </c>
      <c r="I277" s="105">
        <v>0</v>
      </c>
      <c r="J277" s="105">
        <v>0</v>
      </c>
      <c r="K277" s="165"/>
      <c r="L277" s="165"/>
    </row>
    <row r="278" spans="1:12" ht="20.45" customHeight="1" x14ac:dyDescent="0.25">
      <c r="A278" s="332"/>
      <c r="B278" s="180" t="s">
        <v>208</v>
      </c>
      <c r="C278" s="136">
        <v>0</v>
      </c>
      <c r="D278" s="104">
        <v>2018</v>
      </c>
      <c r="E278" s="105">
        <f t="shared" si="9"/>
        <v>0</v>
      </c>
      <c r="F278" s="105">
        <v>0</v>
      </c>
      <c r="G278" s="105">
        <v>0</v>
      </c>
      <c r="H278" s="105">
        <v>0</v>
      </c>
      <c r="I278" s="105">
        <v>0</v>
      </c>
      <c r="J278" s="105">
        <v>0</v>
      </c>
      <c r="K278" s="165"/>
      <c r="L278" s="165"/>
    </row>
    <row r="279" spans="1:12" ht="20.45" customHeight="1" x14ac:dyDescent="0.25">
      <c r="A279" s="332"/>
      <c r="B279" s="180"/>
      <c r="C279" s="136">
        <v>0</v>
      </c>
      <c r="D279" s="104">
        <v>2019</v>
      </c>
      <c r="E279" s="105">
        <f t="shared" si="9"/>
        <v>0</v>
      </c>
      <c r="F279" s="105">
        <v>0</v>
      </c>
      <c r="G279" s="105">
        <v>0</v>
      </c>
      <c r="H279" s="105">
        <v>0</v>
      </c>
      <c r="I279" s="105">
        <v>0</v>
      </c>
      <c r="J279" s="105">
        <v>0</v>
      </c>
      <c r="K279" s="165"/>
      <c r="L279" s="165"/>
    </row>
    <row r="280" spans="1:12" ht="20.45" customHeight="1" x14ac:dyDescent="0.25">
      <c r="A280" s="332"/>
      <c r="B280" s="180"/>
      <c r="C280" s="136">
        <v>0</v>
      </c>
      <c r="D280" s="108">
        <v>2020</v>
      </c>
      <c r="E280" s="105">
        <f t="shared" si="9"/>
        <v>0</v>
      </c>
      <c r="F280" s="122">
        <v>0</v>
      </c>
      <c r="G280" s="105">
        <v>0</v>
      </c>
      <c r="H280" s="105">
        <v>0</v>
      </c>
      <c r="I280" s="105">
        <v>0</v>
      </c>
      <c r="J280" s="105">
        <v>0</v>
      </c>
      <c r="K280" s="165"/>
      <c r="L280" s="165"/>
    </row>
    <row r="281" spans="1:12" ht="20.45" customHeight="1" x14ac:dyDescent="0.25">
      <c r="A281" s="332"/>
      <c r="B281" s="180"/>
      <c r="C281" s="138">
        <v>0</v>
      </c>
      <c r="D281" s="108">
        <v>2021</v>
      </c>
      <c r="E281" s="105">
        <f t="shared" si="9"/>
        <v>2687.3</v>
      </c>
      <c r="F281" s="122">
        <v>0</v>
      </c>
      <c r="G281" s="105">
        <v>0</v>
      </c>
      <c r="H281" s="105">
        <v>2687.3</v>
      </c>
      <c r="I281" s="105">
        <v>0</v>
      </c>
      <c r="J281" s="105">
        <v>0</v>
      </c>
      <c r="K281" s="165"/>
      <c r="L281" s="165"/>
    </row>
    <row r="282" spans="1:12" ht="20.45" customHeight="1" x14ac:dyDescent="0.25">
      <c r="A282" s="332"/>
      <c r="B282" s="180"/>
      <c r="C282" s="138">
        <v>0</v>
      </c>
      <c r="D282" s="108">
        <v>2022</v>
      </c>
      <c r="E282" s="105">
        <f t="shared" si="9"/>
        <v>1794.8</v>
      </c>
      <c r="F282" s="122">
        <v>0</v>
      </c>
      <c r="G282" s="105">
        <v>0</v>
      </c>
      <c r="H282" s="105">
        <v>1794.8</v>
      </c>
      <c r="I282" s="105">
        <v>0</v>
      </c>
      <c r="J282" s="105">
        <v>0</v>
      </c>
      <c r="K282" s="165"/>
      <c r="L282" s="165"/>
    </row>
    <row r="283" spans="1:12" ht="20.45" customHeight="1" x14ac:dyDescent="0.25">
      <c r="A283" s="332"/>
      <c r="B283" s="180"/>
      <c r="C283" s="138">
        <v>0</v>
      </c>
      <c r="D283" s="108">
        <v>2023</v>
      </c>
      <c r="E283" s="105">
        <f t="shared" si="9"/>
        <v>1794.8</v>
      </c>
      <c r="F283" s="122">
        <v>0</v>
      </c>
      <c r="G283" s="105">
        <v>0</v>
      </c>
      <c r="H283" s="105">
        <v>1794.8</v>
      </c>
      <c r="I283" s="105">
        <v>0</v>
      </c>
      <c r="J283" s="105">
        <v>0</v>
      </c>
      <c r="K283" s="165"/>
      <c r="L283" s="165"/>
    </row>
    <row r="284" spans="1:12" ht="20.45" customHeight="1" x14ac:dyDescent="0.25">
      <c r="A284" s="332"/>
      <c r="B284" s="180"/>
      <c r="C284" s="138">
        <v>0</v>
      </c>
      <c r="D284" s="108">
        <v>2024</v>
      </c>
      <c r="E284" s="105">
        <f t="shared" si="9"/>
        <v>1866.6</v>
      </c>
      <c r="F284" s="122">
        <v>0</v>
      </c>
      <c r="G284" s="105">
        <v>0</v>
      </c>
      <c r="H284" s="123">
        <f>1866.6</f>
        <v>1866.6</v>
      </c>
      <c r="I284" s="105">
        <v>0</v>
      </c>
      <c r="J284" s="105">
        <v>0</v>
      </c>
      <c r="K284" s="165"/>
      <c r="L284" s="165"/>
    </row>
    <row r="285" spans="1:12" ht="20.45" customHeight="1" x14ac:dyDescent="0.25">
      <c r="A285" s="332"/>
      <c r="B285" s="180"/>
      <c r="C285" s="138">
        <v>0</v>
      </c>
      <c r="D285" s="108">
        <v>2025</v>
      </c>
      <c r="E285" s="105">
        <f t="shared" si="9"/>
        <v>1866.6</v>
      </c>
      <c r="F285" s="122">
        <v>0</v>
      </c>
      <c r="G285" s="105">
        <v>0</v>
      </c>
      <c r="H285" s="123">
        <f>1866.6</f>
        <v>1866.6</v>
      </c>
      <c r="I285" s="105">
        <v>0</v>
      </c>
      <c r="J285" s="105">
        <v>0</v>
      </c>
      <c r="K285" s="165"/>
      <c r="L285" s="165"/>
    </row>
    <row r="286" spans="1:12" ht="20.45" customHeight="1" x14ac:dyDescent="0.25">
      <c r="A286" s="32"/>
      <c r="B286" s="180"/>
      <c r="C286" s="138"/>
      <c r="D286" s="181">
        <v>2026</v>
      </c>
      <c r="E286" s="105">
        <f t="shared" si="9"/>
        <v>1866</v>
      </c>
      <c r="F286" s="122">
        <v>0</v>
      </c>
      <c r="G286" s="105">
        <v>0</v>
      </c>
      <c r="H286" s="123">
        <f>1866</f>
        <v>1866</v>
      </c>
      <c r="I286" s="105">
        <v>0</v>
      </c>
      <c r="J286" s="105">
        <v>0</v>
      </c>
      <c r="K286" s="120"/>
      <c r="L286" s="120"/>
    </row>
    <row r="287" spans="1:12" ht="21.95" customHeight="1" x14ac:dyDescent="0.25">
      <c r="A287" s="331"/>
      <c r="B287" s="180" t="s">
        <v>304</v>
      </c>
      <c r="C287" s="136">
        <v>0</v>
      </c>
      <c r="D287" s="104">
        <v>2018</v>
      </c>
      <c r="E287" s="105">
        <f t="shared" si="9"/>
        <v>0</v>
      </c>
      <c r="F287" s="105">
        <v>0</v>
      </c>
      <c r="G287" s="105">
        <v>0</v>
      </c>
      <c r="H287" s="105">
        <v>0</v>
      </c>
      <c r="I287" s="105">
        <v>0</v>
      </c>
      <c r="J287" s="105">
        <v>0</v>
      </c>
      <c r="K287" s="146"/>
      <c r="L287" s="107" t="s">
        <v>60</v>
      </c>
    </row>
    <row r="288" spans="1:12" ht="21.95" customHeight="1" x14ac:dyDescent="0.25">
      <c r="A288" s="332"/>
      <c r="B288" s="180"/>
      <c r="C288" s="136">
        <v>0</v>
      </c>
      <c r="D288" s="104">
        <v>2019</v>
      </c>
      <c r="E288" s="105">
        <f t="shared" si="9"/>
        <v>0</v>
      </c>
      <c r="F288" s="105">
        <v>0</v>
      </c>
      <c r="G288" s="105">
        <v>0</v>
      </c>
      <c r="H288" s="105">
        <v>0</v>
      </c>
      <c r="I288" s="105">
        <v>0</v>
      </c>
      <c r="J288" s="105">
        <v>0</v>
      </c>
      <c r="K288" s="165"/>
      <c r="L288" s="107"/>
    </row>
    <row r="289" spans="1:12" ht="21.95" customHeight="1" x14ac:dyDescent="0.25">
      <c r="A289" s="332"/>
      <c r="B289" s="180"/>
      <c r="C289" s="136">
        <v>0</v>
      </c>
      <c r="D289" s="108">
        <v>2020</v>
      </c>
      <c r="E289" s="105">
        <f t="shared" si="9"/>
        <v>4.8</v>
      </c>
      <c r="F289" s="122">
        <v>0</v>
      </c>
      <c r="G289" s="105">
        <v>0</v>
      </c>
      <c r="H289" s="105">
        <v>4.8</v>
      </c>
      <c r="I289" s="105">
        <v>0</v>
      </c>
      <c r="J289" s="105">
        <v>0</v>
      </c>
      <c r="K289" s="165"/>
      <c r="L289" s="107"/>
    </row>
    <row r="290" spans="1:12" ht="21.95" customHeight="1" x14ac:dyDescent="0.25">
      <c r="A290" s="332"/>
      <c r="B290" s="180"/>
      <c r="C290" s="138">
        <v>0</v>
      </c>
      <c r="D290" s="108">
        <v>2021</v>
      </c>
      <c r="E290" s="105">
        <f t="shared" si="9"/>
        <v>57.6</v>
      </c>
      <c r="F290" s="122">
        <v>0</v>
      </c>
      <c r="G290" s="105">
        <v>0</v>
      </c>
      <c r="H290" s="105">
        <v>57.6</v>
      </c>
      <c r="I290" s="105">
        <v>0</v>
      </c>
      <c r="J290" s="105">
        <v>0</v>
      </c>
      <c r="K290" s="165"/>
      <c r="L290" s="107"/>
    </row>
    <row r="291" spans="1:12" ht="21.95" customHeight="1" x14ac:dyDescent="0.25">
      <c r="A291" s="332"/>
      <c r="B291" s="180"/>
      <c r="C291" s="138">
        <v>0</v>
      </c>
      <c r="D291" s="108">
        <v>2022</v>
      </c>
      <c r="E291" s="105">
        <f t="shared" si="9"/>
        <v>50</v>
      </c>
      <c r="F291" s="122">
        <v>0</v>
      </c>
      <c r="G291" s="105">
        <v>0</v>
      </c>
      <c r="H291" s="105">
        <v>50</v>
      </c>
      <c r="I291" s="105">
        <v>0</v>
      </c>
      <c r="J291" s="105">
        <v>0</v>
      </c>
      <c r="K291" s="165"/>
      <c r="L291" s="107"/>
    </row>
    <row r="292" spans="1:12" ht="21.95" customHeight="1" x14ac:dyDescent="0.25">
      <c r="A292" s="332"/>
      <c r="B292" s="180"/>
      <c r="C292" s="138">
        <v>0</v>
      </c>
      <c r="D292" s="108">
        <v>2023</v>
      </c>
      <c r="E292" s="105">
        <f t="shared" si="9"/>
        <v>920.4</v>
      </c>
      <c r="F292" s="122">
        <v>0</v>
      </c>
      <c r="G292" s="105">
        <v>0</v>
      </c>
      <c r="H292" s="105">
        <f>50+870.4</f>
        <v>920.4</v>
      </c>
      <c r="I292" s="105">
        <v>0</v>
      </c>
      <c r="J292" s="105">
        <v>0</v>
      </c>
      <c r="K292" s="165"/>
      <c r="L292" s="107"/>
    </row>
    <row r="293" spans="1:12" ht="21.95" customHeight="1" x14ac:dyDescent="0.25">
      <c r="A293" s="332"/>
      <c r="B293" s="180"/>
      <c r="C293" s="138">
        <v>0</v>
      </c>
      <c r="D293" s="108">
        <v>2024</v>
      </c>
      <c r="E293" s="105">
        <f t="shared" si="9"/>
        <v>519.29999999999995</v>
      </c>
      <c r="F293" s="122">
        <v>0</v>
      </c>
      <c r="G293" s="105">
        <v>0</v>
      </c>
      <c r="H293" s="123">
        <f>920.4-401.1</f>
        <v>519.29999999999995</v>
      </c>
      <c r="I293" s="105">
        <v>0</v>
      </c>
      <c r="J293" s="105">
        <v>0</v>
      </c>
      <c r="K293" s="165"/>
      <c r="L293" s="107"/>
    </row>
    <row r="294" spans="1:12" ht="21.95" customHeight="1" x14ac:dyDescent="0.25">
      <c r="A294" s="332"/>
      <c r="B294" s="180"/>
      <c r="C294" s="138">
        <v>0</v>
      </c>
      <c r="D294" s="108">
        <v>2025</v>
      </c>
      <c r="E294" s="105">
        <f t="shared" si="9"/>
        <v>0</v>
      </c>
      <c r="F294" s="122">
        <v>0</v>
      </c>
      <c r="G294" s="105">
        <v>0</v>
      </c>
      <c r="H294" s="123">
        <v>0</v>
      </c>
      <c r="I294" s="105">
        <v>0</v>
      </c>
      <c r="J294" s="105">
        <v>0</v>
      </c>
      <c r="K294" s="165"/>
      <c r="L294" s="107"/>
    </row>
    <row r="295" spans="1:12" ht="21.95" customHeight="1" thickBot="1" x14ac:dyDescent="0.3">
      <c r="A295" s="32"/>
      <c r="B295" s="193"/>
      <c r="C295" s="148"/>
      <c r="D295" s="124">
        <v>2026</v>
      </c>
      <c r="E295" s="113">
        <f t="shared" si="9"/>
        <v>0</v>
      </c>
      <c r="F295" s="125">
        <v>0</v>
      </c>
      <c r="G295" s="113">
        <v>0</v>
      </c>
      <c r="H295" s="126">
        <v>0</v>
      </c>
      <c r="I295" s="113">
        <v>0</v>
      </c>
      <c r="J295" s="113">
        <v>0</v>
      </c>
      <c r="K295" s="168"/>
      <c r="L295" s="115"/>
    </row>
    <row r="296" spans="1:12" ht="21.95" customHeight="1" x14ac:dyDescent="0.25">
      <c r="A296" s="31" t="s">
        <v>56</v>
      </c>
      <c r="B296" s="179" t="s">
        <v>57</v>
      </c>
      <c r="C296" s="134">
        <v>0</v>
      </c>
      <c r="D296" s="98">
        <v>2018</v>
      </c>
      <c r="E296" s="99">
        <f t="shared" si="9"/>
        <v>946</v>
      </c>
      <c r="F296" s="99">
        <v>0</v>
      </c>
      <c r="G296" s="99">
        <v>946</v>
      </c>
      <c r="H296" s="99">
        <v>0</v>
      </c>
      <c r="I296" s="99">
        <v>0</v>
      </c>
      <c r="J296" s="99">
        <v>0</v>
      </c>
      <c r="K296" s="100" t="s">
        <v>58</v>
      </c>
      <c r="L296" s="101" t="s">
        <v>59</v>
      </c>
    </row>
    <row r="297" spans="1:12" ht="21.95" customHeight="1" x14ac:dyDescent="0.25">
      <c r="A297" s="28"/>
      <c r="B297" s="180"/>
      <c r="C297" s="136">
        <v>0</v>
      </c>
      <c r="D297" s="104">
        <v>2019</v>
      </c>
      <c r="E297" s="105">
        <f t="shared" si="9"/>
        <v>1486.4</v>
      </c>
      <c r="F297" s="105">
        <v>0</v>
      </c>
      <c r="G297" s="105">
        <v>1486.4</v>
      </c>
      <c r="H297" s="105">
        <v>0</v>
      </c>
      <c r="I297" s="105">
        <v>0</v>
      </c>
      <c r="J297" s="105">
        <v>0</v>
      </c>
      <c r="K297" s="106"/>
      <c r="L297" s="107"/>
    </row>
    <row r="298" spans="1:12" ht="21.95" customHeight="1" x14ac:dyDescent="0.25">
      <c r="A298" s="28"/>
      <c r="B298" s="180"/>
      <c r="C298" s="136">
        <v>0</v>
      </c>
      <c r="D298" s="108">
        <v>2020</v>
      </c>
      <c r="E298" s="105">
        <f t="shared" si="9"/>
        <v>0</v>
      </c>
      <c r="F298" s="122">
        <v>0</v>
      </c>
      <c r="G298" s="105">
        <v>0</v>
      </c>
      <c r="H298" s="105">
        <v>0</v>
      </c>
      <c r="I298" s="105">
        <v>0</v>
      </c>
      <c r="J298" s="105">
        <v>0</v>
      </c>
      <c r="K298" s="106"/>
      <c r="L298" s="107"/>
    </row>
    <row r="299" spans="1:12" ht="21.95" customHeight="1" x14ac:dyDescent="0.25">
      <c r="A299" s="28"/>
      <c r="B299" s="180"/>
      <c r="C299" s="138">
        <v>0</v>
      </c>
      <c r="D299" s="108">
        <v>2021</v>
      </c>
      <c r="E299" s="105">
        <f t="shared" si="9"/>
        <v>0</v>
      </c>
      <c r="F299" s="122">
        <v>0</v>
      </c>
      <c r="G299" s="105">
        <v>0</v>
      </c>
      <c r="H299" s="105">
        <v>0</v>
      </c>
      <c r="I299" s="105">
        <v>0</v>
      </c>
      <c r="J299" s="105">
        <v>0</v>
      </c>
      <c r="K299" s="106"/>
      <c r="L299" s="107"/>
    </row>
    <row r="300" spans="1:12" ht="21.95" customHeight="1" x14ac:dyDescent="0.25">
      <c r="A300" s="28"/>
      <c r="B300" s="180"/>
      <c r="C300" s="138">
        <v>0</v>
      </c>
      <c r="D300" s="108">
        <v>2022</v>
      </c>
      <c r="E300" s="105">
        <f t="shared" si="9"/>
        <v>0</v>
      </c>
      <c r="F300" s="122">
        <v>0</v>
      </c>
      <c r="G300" s="105">
        <v>0</v>
      </c>
      <c r="H300" s="105">
        <v>0</v>
      </c>
      <c r="I300" s="105">
        <v>0</v>
      </c>
      <c r="J300" s="105">
        <v>0</v>
      </c>
      <c r="K300" s="106"/>
      <c r="L300" s="107"/>
    </row>
    <row r="301" spans="1:12" ht="21.95" customHeight="1" x14ac:dyDescent="0.25">
      <c r="A301" s="28"/>
      <c r="B301" s="180"/>
      <c r="C301" s="138">
        <v>0</v>
      </c>
      <c r="D301" s="108">
        <v>2023</v>
      </c>
      <c r="E301" s="105">
        <f t="shared" si="9"/>
        <v>0</v>
      </c>
      <c r="F301" s="122">
        <v>0</v>
      </c>
      <c r="G301" s="105">
        <v>0</v>
      </c>
      <c r="H301" s="105">
        <v>0</v>
      </c>
      <c r="I301" s="105">
        <v>0</v>
      </c>
      <c r="J301" s="105">
        <v>0</v>
      </c>
      <c r="K301" s="106"/>
      <c r="L301" s="107"/>
    </row>
    <row r="302" spans="1:12" ht="21.95" customHeight="1" x14ac:dyDescent="0.25">
      <c r="A302" s="28"/>
      <c r="B302" s="180"/>
      <c r="C302" s="138">
        <v>0</v>
      </c>
      <c r="D302" s="108">
        <v>2024</v>
      </c>
      <c r="E302" s="105">
        <f t="shared" si="9"/>
        <v>0</v>
      </c>
      <c r="F302" s="122">
        <v>0</v>
      </c>
      <c r="G302" s="105">
        <v>0</v>
      </c>
      <c r="H302" s="105">
        <v>0</v>
      </c>
      <c r="I302" s="105">
        <v>0</v>
      </c>
      <c r="J302" s="105">
        <v>0</v>
      </c>
      <c r="K302" s="106"/>
      <c r="L302" s="107"/>
    </row>
    <row r="303" spans="1:12" ht="21.95" customHeight="1" thickBot="1" x14ac:dyDescent="0.3">
      <c r="A303" s="28"/>
      <c r="B303" s="180"/>
      <c r="C303" s="141">
        <v>0</v>
      </c>
      <c r="D303" s="108">
        <v>2025</v>
      </c>
      <c r="E303" s="105">
        <f t="shared" si="9"/>
        <v>0</v>
      </c>
      <c r="F303" s="122">
        <v>0</v>
      </c>
      <c r="G303" s="105">
        <v>0</v>
      </c>
      <c r="H303" s="105">
        <v>0</v>
      </c>
      <c r="I303" s="105">
        <v>0</v>
      </c>
      <c r="J303" s="105">
        <v>0</v>
      </c>
      <c r="K303" s="106"/>
      <c r="L303" s="107"/>
    </row>
    <row r="304" spans="1:12" s="178" customFormat="1" ht="21.95" customHeight="1" thickBot="1" x14ac:dyDescent="0.3">
      <c r="A304" s="29"/>
      <c r="B304" s="193"/>
      <c r="C304" s="183"/>
      <c r="D304" s="184">
        <v>2026</v>
      </c>
      <c r="E304" s="185">
        <f t="shared" si="9"/>
        <v>0</v>
      </c>
      <c r="F304" s="186">
        <v>0</v>
      </c>
      <c r="G304" s="185">
        <v>0</v>
      </c>
      <c r="H304" s="185">
        <v>0</v>
      </c>
      <c r="I304" s="185">
        <v>0</v>
      </c>
      <c r="J304" s="185">
        <v>0</v>
      </c>
      <c r="K304" s="114"/>
      <c r="L304" s="115"/>
    </row>
    <row r="305" spans="1:12" ht="21.95" customHeight="1" x14ac:dyDescent="0.25">
      <c r="A305" s="27" t="s">
        <v>61</v>
      </c>
      <c r="B305" s="179" t="s">
        <v>62</v>
      </c>
      <c r="C305" s="96" t="e">
        <f>#REF!+#REF!+#REF!+#REF!+#REF!+#REF!+#REF!+#REF!</f>
        <v>#REF!</v>
      </c>
      <c r="D305" s="98">
        <v>2018</v>
      </c>
      <c r="E305" s="99">
        <f t="shared" si="9"/>
        <v>0</v>
      </c>
      <c r="F305" s="99">
        <v>0</v>
      </c>
      <c r="G305" s="99">
        <v>0</v>
      </c>
      <c r="H305" s="99">
        <v>0</v>
      </c>
      <c r="I305" s="99">
        <v>0</v>
      </c>
      <c r="J305" s="99">
        <v>0</v>
      </c>
      <c r="K305" s="100" t="s">
        <v>58</v>
      </c>
      <c r="L305" s="101" t="s">
        <v>59</v>
      </c>
    </row>
    <row r="306" spans="1:12" ht="21.95" customHeight="1" x14ac:dyDescent="0.25">
      <c r="A306" s="28"/>
      <c r="B306" s="180"/>
      <c r="C306" s="102"/>
      <c r="D306" s="104">
        <v>2019</v>
      </c>
      <c r="E306" s="105">
        <f t="shared" si="9"/>
        <v>0</v>
      </c>
      <c r="F306" s="105">
        <v>0</v>
      </c>
      <c r="G306" s="105">
        <v>0</v>
      </c>
      <c r="H306" s="105">
        <v>0</v>
      </c>
      <c r="I306" s="105">
        <v>0</v>
      </c>
      <c r="J306" s="105">
        <v>0</v>
      </c>
      <c r="K306" s="106"/>
      <c r="L306" s="107"/>
    </row>
    <row r="307" spans="1:12" ht="21.95" customHeight="1" x14ac:dyDescent="0.25">
      <c r="A307" s="28"/>
      <c r="B307" s="180"/>
      <c r="C307" s="102"/>
      <c r="D307" s="108">
        <v>2020</v>
      </c>
      <c r="E307" s="105">
        <f t="shared" si="9"/>
        <v>1570</v>
      </c>
      <c r="F307" s="122">
        <v>0</v>
      </c>
      <c r="G307" s="105">
        <v>1570</v>
      </c>
      <c r="H307" s="105">
        <v>0</v>
      </c>
      <c r="I307" s="105">
        <v>0</v>
      </c>
      <c r="J307" s="105">
        <v>0</v>
      </c>
      <c r="K307" s="106"/>
      <c r="L307" s="107"/>
    </row>
    <row r="308" spans="1:12" ht="21.95" customHeight="1" x14ac:dyDescent="0.25">
      <c r="A308" s="28"/>
      <c r="B308" s="180"/>
      <c r="C308" s="102"/>
      <c r="D308" s="108">
        <v>2021</v>
      </c>
      <c r="E308" s="105">
        <f t="shared" si="9"/>
        <v>1527.3</v>
      </c>
      <c r="F308" s="122">
        <v>0</v>
      </c>
      <c r="G308" s="105">
        <v>1527.3</v>
      </c>
      <c r="H308" s="105">
        <v>0</v>
      </c>
      <c r="I308" s="105">
        <v>0</v>
      </c>
      <c r="J308" s="105">
        <v>0</v>
      </c>
      <c r="K308" s="106"/>
      <c r="L308" s="107"/>
    </row>
    <row r="309" spans="1:12" ht="21.95" customHeight="1" x14ac:dyDescent="0.25">
      <c r="A309" s="28"/>
      <c r="B309" s="180"/>
      <c r="C309" s="102"/>
      <c r="D309" s="108">
        <v>2022</v>
      </c>
      <c r="E309" s="105">
        <f t="shared" si="9"/>
        <v>1567.1</v>
      </c>
      <c r="F309" s="122">
        <v>0</v>
      </c>
      <c r="G309" s="105">
        <v>1567.1</v>
      </c>
      <c r="H309" s="105">
        <v>0</v>
      </c>
      <c r="I309" s="105">
        <v>0</v>
      </c>
      <c r="J309" s="105">
        <v>0</v>
      </c>
      <c r="K309" s="106"/>
      <c r="L309" s="107"/>
    </row>
    <row r="310" spans="1:12" ht="21.95" customHeight="1" x14ac:dyDescent="0.25">
      <c r="A310" s="28"/>
      <c r="B310" s="180"/>
      <c r="C310" s="102"/>
      <c r="D310" s="108">
        <v>2023</v>
      </c>
      <c r="E310" s="105">
        <f t="shared" si="9"/>
        <v>1729.2</v>
      </c>
      <c r="F310" s="122">
        <v>0</v>
      </c>
      <c r="G310" s="105">
        <v>1729.2</v>
      </c>
      <c r="H310" s="105">
        <v>0</v>
      </c>
      <c r="I310" s="105">
        <v>0</v>
      </c>
      <c r="J310" s="105">
        <v>0</v>
      </c>
      <c r="K310" s="106"/>
      <c r="L310" s="107"/>
    </row>
    <row r="311" spans="1:12" ht="21.95" customHeight="1" x14ac:dyDescent="0.25">
      <c r="A311" s="28"/>
      <c r="B311" s="180"/>
      <c r="C311" s="102"/>
      <c r="D311" s="108">
        <v>2024</v>
      </c>
      <c r="E311" s="105">
        <f t="shared" si="9"/>
        <v>1872.4</v>
      </c>
      <c r="F311" s="122">
        <v>0</v>
      </c>
      <c r="G311" s="105">
        <f>1872.4</f>
        <v>1872.4</v>
      </c>
      <c r="H311" s="105">
        <v>0</v>
      </c>
      <c r="I311" s="105">
        <v>0</v>
      </c>
      <c r="J311" s="105">
        <v>0</v>
      </c>
      <c r="K311" s="106"/>
      <c r="L311" s="107"/>
    </row>
    <row r="312" spans="1:12" ht="21.95" customHeight="1" x14ac:dyDescent="0.25">
      <c r="A312" s="28"/>
      <c r="B312" s="180"/>
      <c r="C312" s="102"/>
      <c r="D312" s="108">
        <v>2025</v>
      </c>
      <c r="E312" s="105">
        <f t="shared" si="9"/>
        <v>1872.6</v>
      </c>
      <c r="F312" s="122">
        <v>0</v>
      </c>
      <c r="G312" s="105">
        <f>1872.6</f>
        <v>1872.6</v>
      </c>
      <c r="H312" s="105">
        <v>0</v>
      </c>
      <c r="I312" s="105">
        <v>0</v>
      </c>
      <c r="J312" s="105">
        <v>0</v>
      </c>
      <c r="K312" s="106"/>
      <c r="L312" s="107"/>
    </row>
    <row r="313" spans="1:12" ht="21.95" customHeight="1" thickBot="1" x14ac:dyDescent="0.3">
      <c r="A313" s="29"/>
      <c r="B313" s="193"/>
      <c r="C313" s="111"/>
      <c r="D313" s="124">
        <v>2026</v>
      </c>
      <c r="E313" s="113">
        <f t="shared" si="9"/>
        <v>1863.6</v>
      </c>
      <c r="F313" s="125">
        <v>0</v>
      </c>
      <c r="G313" s="113">
        <f>1863.6</f>
        <v>1863.6</v>
      </c>
      <c r="H313" s="113">
        <v>0</v>
      </c>
      <c r="I313" s="113">
        <v>0</v>
      </c>
      <c r="J313" s="113">
        <v>0</v>
      </c>
      <c r="K313" s="114"/>
      <c r="L313" s="115"/>
    </row>
    <row r="314" spans="1:12" ht="21.95" customHeight="1" x14ac:dyDescent="0.25">
      <c r="A314" s="27" t="s">
        <v>63</v>
      </c>
      <c r="B314" s="179" t="s">
        <v>64</v>
      </c>
      <c r="C314" s="96" t="e">
        <f>#REF!+#REF!+#REF!+#REF!+#REF!+#REF!+#REF!+#REF!</f>
        <v>#REF!</v>
      </c>
      <c r="D314" s="98">
        <v>2018</v>
      </c>
      <c r="E314" s="99">
        <f t="shared" si="9"/>
        <v>11979.5</v>
      </c>
      <c r="F314" s="99">
        <v>0</v>
      </c>
      <c r="G314" s="99">
        <v>11979.5</v>
      </c>
      <c r="H314" s="99">
        <v>0</v>
      </c>
      <c r="I314" s="99">
        <v>0</v>
      </c>
      <c r="J314" s="99">
        <v>0</v>
      </c>
      <c r="K314" s="100" t="s">
        <v>65</v>
      </c>
      <c r="L314" s="101" t="s">
        <v>6</v>
      </c>
    </row>
    <row r="315" spans="1:12" ht="21.95" customHeight="1" x14ac:dyDescent="0.25">
      <c r="A315" s="28"/>
      <c r="B315" s="180"/>
      <c r="C315" s="102"/>
      <c r="D315" s="104">
        <v>2019</v>
      </c>
      <c r="E315" s="105">
        <f t="shared" si="9"/>
        <v>12072.5</v>
      </c>
      <c r="F315" s="105">
        <v>0</v>
      </c>
      <c r="G315" s="105">
        <v>12072.5</v>
      </c>
      <c r="H315" s="105">
        <v>0</v>
      </c>
      <c r="I315" s="105">
        <v>0</v>
      </c>
      <c r="J315" s="105">
        <v>0</v>
      </c>
      <c r="K315" s="106"/>
      <c r="L315" s="107"/>
    </row>
    <row r="316" spans="1:12" ht="21.95" customHeight="1" x14ac:dyDescent="0.25">
      <c r="A316" s="28"/>
      <c r="B316" s="180"/>
      <c r="C316" s="102"/>
      <c r="D316" s="108">
        <v>2020</v>
      </c>
      <c r="E316" s="105">
        <f t="shared" si="9"/>
        <v>11906.2</v>
      </c>
      <c r="F316" s="122">
        <v>0</v>
      </c>
      <c r="G316" s="105">
        <v>11906.2</v>
      </c>
      <c r="H316" s="105">
        <v>0</v>
      </c>
      <c r="I316" s="105">
        <v>0</v>
      </c>
      <c r="J316" s="105">
        <v>0</v>
      </c>
      <c r="K316" s="106"/>
      <c r="L316" s="107"/>
    </row>
    <row r="317" spans="1:12" ht="21.95" customHeight="1" x14ac:dyDescent="0.25">
      <c r="A317" s="28"/>
      <c r="B317" s="180"/>
      <c r="C317" s="102"/>
      <c r="D317" s="108">
        <v>2021</v>
      </c>
      <c r="E317" s="105">
        <f t="shared" si="9"/>
        <v>15891.7</v>
      </c>
      <c r="F317" s="122">
        <v>0</v>
      </c>
      <c r="G317" s="105">
        <v>15891.7</v>
      </c>
      <c r="H317" s="105">
        <v>0</v>
      </c>
      <c r="I317" s="105">
        <v>0</v>
      </c>
      <c r="J317" s="105">
        <v>0</v>
      </c>
      <c r="K317" s="106"/>
      <c r="L317" s="107"/>
    </row>
    <row r="318" spans="1:12" ht="21.95" customHeight="1" x14ac:dyDescent="0.25">
      <c r="A318" s="28"/>
      <c r="B318" s="180"/>
      <c r="C318" s="102"/>
      <c r="D318" s="108">
        <v>2022</v>
      </c>
      <c r="E318" s="105">
        <f t="shared" si="9"/>
        <v>20605.099999999999</v>
      </c>
      <c r="F318" s="122">
        <v>0</v>
      </c>
      <c r="G318" s="105">
        <f>11862.2+2140.5+1002.4+2500+3000+100</f>
        <v>20605.099999999999</v>
      </c>
      <c r="H318" s="105">
        <v>0</v>
      </c>
      <c r="I318" s="105">
        <v>0</v>
      </c>
      <c r="J318" s="105">
        <v>0</v>
      </c>
      <c r="K318" s="106"/>
      <c r="L318" s="107"/>
    </row>
    <row r="319" spans="1:12" ht="21.95" customHeight="1" x14ac:dyDescent="0.25">
      <c r="A319" s="28"/>
      <c r="B319" s="180"/>
      <c r="C319" s="102"/>
      <c r="D319" s="108">
        <v>2023</v>
      </c>
      <c r="E319" s="105">
        <f t="shared" si="9"/>
        <v>18631.5</v>
      </c>
      <c r="F319" s="122">
        <v>0</v>
      </c>
      <c r="G319" s="105">
        <f>11781.5+3200+3500+100+50</f>
        <v>18631.5</v>
      </c>
      <c r="H319" s="105">
        <v>0</v>
      </c>
      <c r="I319" s="105">
        <v>0</v>
      </c>
      <c r="J319" s="105">
        <v>0</v>
      </c>
      <c r="K319" s="106"/>
      <c r="L319" s="107"/>
    </row>
    <row r="320" spans="1:12" ht="21.95" customHeight="1" x14ac:dyDescent="0.25">
      <c r="A320" s="28"/>
      <c r="B320" s="180"/>
      <c r="C320" s="102"/>
      <c r="D320" s="108">
        <v>2024</v>
      </c>
      <c r="E320" s="105">
        <f t="shared" si="9"/>
        <v>17700</v>
      </c>
      <c r="F320" s="122">
        <v>0</v>
      </c>
      <c r="G320" s="105">
        <f>11750.3+2235.5+3557.9+156.3</f>
        <v>17700</v>
      </c>
      <c r="H320" s="105">
        <v>0</v>
      </c>
      <c r="I320" s="105">
        <v>0</v>
      </c>
      <c r="J320" s="105">
        <v>0</v>
      </c>
      <c r="K320" s="106"/>
      <c r="L320" s="107"/>
    </row>
    <row r="321" spans="1:12" ht="21.95" customHeight="1" x14ac:dyDescent="0.25">
      <c r="A321" s="28"/>
      <c r="B321" s="180"/>
      <c r="C321" s="102"/>
      <c r="D321" s="108">
        <v>2025</v>
      </c>
      <c r="E321" s="105">
        <f t="shared" si="9"/>
        <v>12709.7</v>
      </c>
      <c r="F321" s="122">
        <v>0</v>
      </c>
      <c r="G321" s="105">
        <f>12709.7</f>
        <v>12709.7</v>
      </c>
      <c r="H321" s="105">
        <v>0</v>
      </c>
      <c r="I321" s="105">
        <v>0</v>
      </c>
      <c r="J321" s="105">
        <v>0</v>
      </c>
      <c r="K321" s="106"/>
      <c r="L321" s="107"/>
    </row>
    <row r="322" spans="1:12" ht="21.95" customHeight="1" thickBot="1" x14ac:dyDescent="0.3">
      <c r="A322" s="29"/>
      <c r="B322" s="193"/>
      <c r="C322" s="111"/>
      <c r="D322" s="124">
        <v>2026</v>
      </c>
      <c r="E322" s="113">
        <f t="shared" si="9"/>
        <v>13218.1</v>
      </c>
      <c r="F322" s="125">
        <v>0</v>
      </c>
      <c r="G322" s="113">
        <f>13218.1</f>
        <v>13218.1</v>
      </c>
      <c r="H322" s="113">
        <v>0</v>
      </c>
      <c r="I322" s="113">
        <v>0</v>
      </c>
      <c r="J322" s="113">
        <v>0</v>
      </c>
      <c r="K322" s="114"/>
      <c r="L322" s="115"/>
    </row>
    <row r="323" spans="1:12" ht="27.95" customHeight="1" x14ac:dyDescent="0.25">
      <c r="A323" s="27" t="s">
        <v>66</v>
      </c>
      <c r="B323" s="179" t="s">
        <v>67</v>
      </c>
      <c r="C323" s="96" t="e">
        <f>#REF!+#REF!+#REF!+#REF!+#REF!+#REF!+#REF!+#REF!</f>
        <v>#REF!</v>
      </c>
      <c r="D323" s="98">
        <v>2018</v>
      </c>
      <c r="E323" s="99">
        <f t="shared" si="9"/>
        <v>11131.2</v>
      </c>
      <c r="F323" s="99">
        <v>0</v>
      </c>
      <c r="G323" s="99">
        <v>11131.2</v>
      </c>
      <c r="H323" s="99">
        <v>0</v>
      </c>
      <c r="I323" s="99">
        <v>0</v>
      </c>
      <c r="J323" s="99">
        <v>0</v>
      </c>
      <c r="K323" s="100" t="s">
        <v>68</v>
      </c>
      <c r="L323" s="101" t="s">
        <v>59</v>
      </c>
    </row>
    <row r="324" spans="1:12" ht="27.95" customHeight="1" x14ac:dyDescent="0.25">
      <c r="A324" s="28"/>
      <c r="B324" s="180"/>
      <c r="C324" s="102"/>
      <c r="D324" s="104">
        <v>2019</v>
      </c>
      <c r="E324" s="105">
        <f t="shared" ref="E324:E395" si="11">F324+G324+H324+J324</f>
        <v>11898</v>
      </c>
      <c r="F324" s="105">
        <v>0</v>
      </c>
      <c r="G324" s="105">
        <v>11898</v>
      </c>
      <c r="H324" s="105">
        <v>0</v>
      </c>
      <c r="I324" s="105">
        <v>0</v>
      </c>
      <c r="J324" s="105">
        <v>0</v>
      </c>
      <c r="K324" s="106"/>
      <c r="L324" s="107"/>
    </row>
    <row r="325" spans="1:12" ht="27.95" customHeight="1" x14ac:dyDescent="0.25">
      <c r="A325" s="28"/>
      <c r="B325" s="180"/>
      <c r="C325" s="102"/>
      <c r="D325" s="108">
        <v>2020</v>
      </c>
      <c r="E325" s="105">
        <f t="shared" si="11"/>
        <v>8632.9</v>
      </c>
      <c r="F325" s="122">
        <v>0</v>
      </c>
      <c r="G325" s="105">
        <v>8632.9</v>
      </c>
      <c r="H325" s="105">
        <v>0</v>
      </c>
      <c r="I325" s="105">
        <v>0</v>
      </c>
      <c r="J325" s="105">
        <v>0</v>
      </c>
      <c r="K325" s="106"/>
      <c r="L325" s="107"/>
    </row>
    <row r="326" spans="1:12" ht="27.95" customHeight="1" x14ac:dyDescent="0.25">
      <c r="A326" s="28"/>
      <c r="B326" s="180"/>
      <c r="C326" s="102"/>
      <c r="D326" s="108">
        <v>2021</v>
      </c>
      <c r="E326" s="105">
        <f t="shared" si="11"/>
        <v>10460</v>
      </c>
      <c r="F326" s="122">
        <v>0</v>
      </c>
      <c r="G326" s="105">
        <v>10460</v>
      </c>
      <c r="H326" s="105">
        <v>0</v>
      </c>
      <c r="I326" s="105">
        <v>0</v>
      </c>
      <c r="J326" s="105">
        <v>0</v>
      </c>
      <c r="K326" s="106"/>
      <c r="L326" s="107"/>
    </row>
    <row r="327" spans="1:12" ht="27.95" customHeight="1" x14ac:dyDescent="0.25">
      <c r="A327" s="28"/>
      <c r="B327" s="180"/>
      <c r="C327" s="102"/>
      <c r="D327" s="108">
        <v>2022</v>
      </c>
      <c r="E327" s="105">
        <f t="shared" si="11"/>
        <v>10000.699999999999</v>
      </c>
      <c r="F327" s="122">
        <v>0</v>
      </c>
      <c r="G327" s="105">
        <f>8638+20.4+1342.3</f>
        <v>10000.699999999999</v>
      </c>
      <c r="H327" s="105">
        <v>0</v>
      </c>
      <c r="I327" s="105">
        <v>0</v>
      </c>
      <c r="J327" s="105">
        <v>0</v>
      </c>
      <c r="K327" s="106"/>
      <c r="L327" s="107"/>
    </row>
    <row r="328" spans="1:12" ht="27.95" customHeight="1" x14ac:dyDescent="0.25">
      <c r="A328" s="28"/>
      <c r="B328" s="180"/>
      <c r="C328" s="102"/>
      <c r="D328" s="108">
        <v>2023</v>
      </c>
      <c r="E328" s="105">
        <f t="shared" si="11"/>
        <v>10602.199999999999</v>
      </c>
      <c r="F328" s="122">
        <v>0</v>
      </c>
      <c r="G328" s="105">
        <f>9601.4+15+985.8</f>
        <v>10602.199999999999</v>
      </c>
      <c r="H328" s="105">
        <v>0</v>
      </c>
      <c r="I328" s="105">
        <v>0</v>
      </c>
      <c r="J328" s="105">
        <v>0</v>
      </c>
      <c r="K328" s="106"/>
      <c r="L328" s="107"/>
    </row>
    <row r="329" spans="1:12" ht="27.95" customHeight="1" x14ac:dyDescent="0.25">
      <c r="A329" s="28"/>
      <c r="B329" s="180"/>
      <c r="C329" s="102"/>
      <c r="D329" s="108">
        <v>2024</v>
      </c>
      <c r="E329" s="105">
        <f t="shared" si="11"/>
        <v>13897.4</v>
      </c>
      <c r="F329" s="122">
        <v>0</v>
      </c>
      <c r="G329" s="105">
        <f>13897.4</f>
        <v>13897.4</v>
      </c>
      <c r="H329" s="105">
        <v>0</v>
      </c>
      <c r="I329" s="105">
        <v>0</v>
      </c>
      <c r="J329" s="105">
        <v>0</v>
      </c>
      <c r="K329" s="106"/>
      <c r="L329" s="107"/>
    </row>
    <row r="330" spans="1:12" ht="27.95" customHeight="1" x14ac:dyDescent="0.25">
      <c r="A330" s="28"/>
      <c r="B330" s="180"/>
      <c r="C330" s="102"/>
      <c r="D330" s="108">
        <v>2025</v>
      </c>
      <c r="E330" s="105">
        <f t="shared" si="11"/>
        <v>13897.4</v>
      </c>
      <c r="F330" s="122">
        <v>0</v>
      </c>
      <c r="G330" s="105">
        <f>13897.4</f>
        <v>13897.4</v>
      </c>
      <c r="H330" s="105">
        <v>0</v>
      </c>
      <c r="I330" s="105">
        <v>0</v>
      </c>
      <c r="J330" s="105">
        <v>0</v>
      </c>
      <c r="K330" s="106"/>
      <c r="L330" s="107"/>
    </row>
    <row r="331" spans="1:12" ht="27.95" customHeight="1" thickBot="1" x14ac:dyDescent="0.3">
      <c r="A331" s="29"/>
      <c r="B331" s="193"/>
      <c r="C331" s="111"/>
      <c r="D331" s="124">
        <v>2026</v>
      </c>
      <c r="E331" s="113">
        <f t="shared" si="11"/>
        <v>13897.4</v>
      </c>
      <c r="F331" s="125">
        <v>0</v>
      </c>
      <c r="G331" s="113">
        <f>13897.4</f>
        <v>13897.4</v>
      </c>
      <c r="H331" s="113">
        <v>0</v>
      </c>
      <c r="I331" s="113">
        <v>0</v>
      </c>
      <c r="J331" s="113">
        <v>0</v>
      </c>
      <c r="K331" s="114"/>
      <c r="L331" s="115"/>
    </row>
    <row r="332" spans="1:12" ht="41.1" customHeight="1" x14ac:dyDescent="0.25">
      <c r="A332" s="27" t="s">
        <v>69</v>
      </c>
      <c r="B332" s="179" t="s">
        <v>70</v>
      </c>
      <c r="C332" s="96" t="e">
        <f>#REF!+#REF!+#REF!+#REF!+#REF!+#REF!+#REF!+#REF!</f>
        <v>#REF!</v>
      </c>
      <c r="D332" s="98">
        <v>2018</v>
      </c>
      <c r="E332" s="99">
        <f t="shared" si="11"/>
        <v>479</v>
      </c>
      <c r="F332" s="99">
        <v>0</v>
      </c>
      <c r="G332" s="99">
        <v>0</v>
      </c>
      <c r="H332" s="99">
        <v>479</v>
      </c>
      <c r="I332" s="99">
        <v>0</v>
      </c>
      <c r="J332" s="99">
        <v>0</v>
      </c>
      <c r="K332" s="100" t="s">
        <v>71</v>
      </c>
      <c r="L332" s="101" t="s">
        <v>72</v>
      </c>
    </row>
    <row r="333" spans="1:12" ht="41.1" customHeight="1" x14ac:dyDescent="0.25">
      <c r="A333" s="28"/>
      <c r="B333" s="180"/>
      <c r="C333" s="102"/>
      <c r="D333" s="104">
        <v>2019</v>
      </c>
      <c r="E333" s="105">
        <f t="shared" si="11"/>
        <v>504.5</v>
      </c>
      <c r="F333" s="105">
        <v>0</v>
      </c>
      <c r="G333" s="105">
        <v>0</v>
      </c>
      <c r="H333" s="105">
        <v>504.5</v>
      </c>
      <c r="I333" s="105">
        <v>0</v>
      </c>
      <c r="J333" s="105">
        <v>0</v>
      </c>
      <c r="K333" s="106"/>
      <c r="L333" s="107"/>
    </row>
    <row r="334" spans="1:12" ht="41.1" customHeight="1" x14ac:dyDescent="0.25">
      <c r="A334" s="28"/>
      <c r="B334" s="180"/>
      <c r="C334" s="102"/>
      <c r="D334" s="108">
        <v>2020</v>
      </c>
      <c r="E334" s="105">
        <f t="shared" si="11"/>
        <v>244.2</v>
      </c>
      <c r="F334" s="122">
        <v>0</v>
      </c>
      <c r="G334" s="105">
        <v>0</v>
      </c>
      <c r="H334" s="105">
        <v>244.2</v>
      </c>
      <c r="I334" s="105">
        <v>0</v>
      </c>
      <c r="J334" s="105">
        <v>0</v>
      </c>
      <c r="K334" s="106"/>
      <c r="L334" s="107"/>
    </row>
    <row r="335" spans="1:12" ht="41.1" customHeight="1" x14ac:dyDescent="0.25">
      <c r="A335" s="28"/>
      <c r="B335" s="180"/>
      <c r="C335" s="102"/>
      <c r="D335" s="108">
        <v>2021</v>
      </c>
      <c r="E335" s="105">
        <f t="shared" si="11"/>
        <v>510</v>
      </c>
      <c r="F335" s="122">
        <v>0</v>
      </c>
      <c r="G335" s="105">
        <v>0</v>
      </c>
      <c r="H335" s="105">
        <v>510</v>
      </c>
      <c r="I335" s="105">
        <v>0</v>
      </c>
      <c r="J335" s="105">
        <v>0</v>
      </c>
      <c r="K335" s="106"/>
      <c r="L335" s="107"/>
    </row>
    <row r="336" spans="1:12" ht="41.1" customHeight="1" x14ac:dyDescent="0.25">
      <c r="A336" s="28"/>
      <c r="B336" s="180"/>
      <c r="C336" s="102"/>
      <c r="D336" s="108">
        <v>2022</v>
      </c>
      <c r="E336" s="105">
        <f t="shared" si="11"/>
        <v>515.6</v>
      </c>
      <c r="F336" s="122">
        <v>0</v>
      </c>
      <c r="G336" s="105">
        <v>0</v>
      </c>
      <c r="H336" s="105">
        <f>530.4-14.8</f>
        <v>515.6</v>
      </c>
      <c r="I336" s="105">
        <v>0</v>
      </c>
      <c r="J336" s="105">
        <v>0</v>
      </c>
      <c r="K336" s="106"/>
      <c r="L336" s="107"/>
    </row>
    <row r="337" spans="1:12" ht="41.1" customHeight="1" x14ac:dyDescent="0.25">
      <c r="A337" s="28"/>
      <c r="B337" s="180"/>
      <c r="C337" s="102"/>
      <c r="D337" s="108">
        <v>2023</v>
      </c>
      <c r="E337" s="105">
        <f t="shared" si="11"/>
        <v>488.20000000000005</v>
      </c>
      <c r="F337" s="122">
        <v>0</v>
      </c>
      <c r="G337" s="105">
        <v>0</v>
      </c>
      <c r="H337" s="105">
        <f>551.6-61.2-2.2</f>
        <v>488.20000000000005</v>
      </c>
      <c r="I337" s="105">
        <v>0</v>
      </c>
      <c r="J337" s="105">
        <v>0</v>
      </c>
      <c r="K337" s="106"/>
      <c r="L337" s="107"/>
    </row>
    <row r="338" spans="1:12" ht="41.1" customHeight="1" x14ac:dyDescent="0.25">
      <c r="A338" s="28"/>
      <c r="B338" s="180"/>
      <c r="C338" s="102"/>
      <c r="D338" s="108">
        <v>2024</v>
      </c>
      <c r="E338" s="105">
        <f t="shared" si="11"/>
        <v>573.70000000000005</v>
      </c>
      <c r="F338" s="122">
        <v>0</v>
      </c>
      <c r="G338" s="105">
        <v>0</v>
      </c>
      <c r="H338" s="123">
        <f>573.7</f>
        <v>573.70000000000005</v>
      </c>
      <c r="I338" s="105">
        <v>0</v>
      </c>
      <c r="J338" s="105">
        <v>0</v>
      </c>
      <c r="K338" s="106"/>
      <c r="L338" s="107"/>
    </row>
    <row r="339" spans="1:12" ht="41.1" customHeight="1" x14ac:dyDescent="0.25">
      <c r="A339" s="28"/>
      <c r="B339" s="180"/>
      <c r="C339" s="102"/>
      <c r="D339" s="108">
        <v>2025</v>
      </c>
      <c r="E339" s="105">
        <f t="shared" si="11"/>
        <v>573.70000000000005</v>
      </c>
      <c r="F339" s="122">
        <v>0</v>
      </c>
      <c r="G339" s="105">
        <v>0</v>
      </c>
      <c r="H339" s="123">
        <f>573.7</f>
        <v>573.70000000000005</v>
      </c>
      <c r="I339" s="105">
        <v>0</v>
      </c>
      <c r="J339" s="105">
        <v>0</v>
      </c>
      <c r="K339" s="106"/>
      <c r="L339" s="107"/>
    </row>
    <row r="340" spans="1:12" ht="41.1" customHeight="1" thickBot="1" x14ac:dyDescent="0.3">
      <c r="A340" s="29"/>
      <c r="B340" s="193"/>
      <c r="C340" s="111"/>
      <c r="D340" s="124">
        <v>2026</v>
      </c>
      <c r="E340" s="113">
        <f t="shared" si="11"/>
        <v>573.70000000000005</v>
      </c>
      <c r="F340" s="125">
        <v>0</v>
      </c>
      <c r="G340" s="113">
        <v>0</v>
      </c>
      <c r="H340" s="126">
        <f>573.7</f>
        <v>573.70000000000005</v>
      </c>
      <c r="I340" s="113">
        <v>0</v>
      </c>
      <c r="J340" s="113">
        <v>0</v>
      </c>
      <c r="K340" s="114"/>
      <c r="L340" s="115"/>
    </row>
    <row r="341" spans="1:12" ht="19.5" x14ac:dyDescent="0.25">
      <c r="A341" s="27" t="s">
        <v>73</v>
      </c>
      <c r="B341" s="179" t="s">
        <v>74</v>
      </c>
      <c r="C341" s="96" t="e">
        <f>#REF!+#REF!+#REF!+#REF!+#REF!+#REF!+#REF!+#REF!</f>
        <v>#REF!</v>
      </c>
      <c r="D341" s="98">
        <v>2018</v>
      </c>
      <c r="E341" s="99">
        <f t="shared" si="11"/>
        <v>12599</v>
      </c>
      <c r="F341" s="99">
        <v>0</v>
      </c>
      <c r="G341" s="99">
        <v>0</v>
      </c>
      <c r="H341" s="99">
        <v>12599</v>
      </c>
      <c r="I341" s="99">
        <v>0</v>
      </c>
      <c r="J341" s="99">
        <v>0</v>
      </c>
      <c r="K341" s="100" t="s">
        <v>75</v>
      </c>
      <c r="L341" s="101" t="s">
        <v>31</v>
      </c>
    </row>
    <row r="342" spans="1:12" ht="19.5" x14ac:dyDescent="0.25">
      <c r="A342" s="28"/>
      <c r="B342" s="180"/>
      <c r="C342" s="102"/>
      <c r="D342" s="104">
        <v>2019</v>
      </c>
      <c r="E342" s="105">
        <f t="shared" si="11"/>
        <v>13349.7</v>
      </c>
      <c r="F342" s="105">
        <v>0</v>
      </c>
      <c r="G342" s="105">
        <v>0</v>
      </c>
      <c r="H342" s="105">
        <v>13349.7</v>
      </c>
      <c r="I342" s="105">
        <v>0</v>
      </c>
      <c r="J342" s="105">
        <v>0</v>
      </c>
      <c r="K342" s="106"/>
      <c r="L342" s="107"/>
    </row>
    <row r="343" spans="1:12" ht="19.5" x14ac:dyDescent="0.25">
      <c r="A343" s="28"/>
      <c r="B343" s="180"/>
      <c r="C343" s="102"/>
      <c r="D343" s="108">
        <v>2020</v>
      </c>
      <c r="E343" s="105">
        <f t="shared" si="11"/>
        <v>10171.200000000001</v>
      </c>
      <c r="F343" s="122">
        <v>0</v>
      </c>
      <c r="G343" s="105">
        <v>0</v>
      </c>
      <c r="H343" s="105">
        <v>10171.200000000001</v>
      </c>
      <c r="I343" s="105">
        <v>0</v>
      </c>
      <c r="J343" s="105">
        <v>0</v>
      </c>
      <c r="K343" s="106"/>
      <c r="L343" s="107"/>
    </row>
    <row r="344" spans="1:12" ht="19.5" x14ac:dyDescent="0.25">
      <c r="A344" s="28"/>
      <c r="B344" s="180"/>
      <c r="C344" s="102"/>
      <c r="D344" s="108">
        <v>2021</v>
      </c>
      <c r="E344" s="105">
        <f t="shared" si="11"/>
        <v>22215.8</v>
      </c>
      <c r="F344" s="122">
        <v>0</v>
      </c>
      <c r="G344" s="105">
        <v>0</v>
      </c>
      <c r="H344" s="105">
        <v>22215.8</v>
      </c>
      <c r="I344" s="105">
        <v>0</v>
      </c>
      <c r="J344" s="105">
        <v>0</v>
      </c>
      <c r="K344" s="106"/>
      <c r="L344" s="107"/>
    </row>
    <row r="345" spans="1:12" ht="19.5" x14ac:dyDescent="0.25">
      <c r="A345" s="28"/>
      <c r="B345" s="180"/>
      <c r="C345" s="102"/>
      <c r="D345" s="108">
        <v>2022</v>
      </c>
      <c r="E345" s="105">
        <f t="shared" si="11"/>
        <v>25597.9</v>
      </c>
      <c r="F345" s="122">
        <v>0</v>
      </c>
      <c r="G345" s="105">
        <v>0</v>
      </c>
      <c r="H345" s="105">
        <f>19637.9+5453.2+506.8</f>
        <v>25597.9</v>
      </c>
      <c r="I345" s="105">
        <v>0</v>
      </c>
      <c r="J345" s="105">
        <v>0</v>
      </c>
      <c r="K345" s="106"/>
      <c r="L345" s="107"/>
    </row>
    <row r="346" spans="1:12" ht="19.5" x14ac:dyDescent="0.25">
      <c r="A346" s="28"/>
      <c r="B346" s="180"/>
      <c r="C346" s="102"/>
      <c r="D346" s="108">
        <v>2023</v>
      </c>
      <c r="E346" s="105">
        <f t="shared" si="11"/>
        <v>73157.099999999991</v>
      </c>
      <c r="F346" s="122">
        <v>0</v>
      </c>
      <c r="G346" s="105">
        <v>0</v>
      </c>
      <c r="H346" s="105">
        <f>69260.5+2238.7+601.2+1087.3-30.6</f>
        <v>73157.099999999991</v>
      </c>
      <c r="I346" s="105">
        <v>0</v>
      </c>
      <c r="J346" s="105">
        <v>0</v>
      </c>
      <c r="K346" s="106"/>
      <c r="L346" s="107"/>
    </row>
    <row r="347" spans="1:12" ht="19.5" x14ac:dyDescent="0.25">
      <c r="A347" s="28"/>
      <c r="B347" s="180"/>
      <c r="C347" s="102"/>
      <c r="D347" s="108">
        <v>2024</v>
      </c>
      <c r="E347" s="105">
        <f t="shared" si="11"/>
        <v>89107.199999999997</v>
      </c>
      <c r="F347" s="122">
        <v>0</v>
      </c>
      <c r="G347" s="105">
        <v>0</v>
      </c>
      <c r="H347" s="123">
        <f>77632.2+11475</f>
        <v>89107.199999999997</v>
      </c>
      <c r="I347" s="105">
        <v>0</v>
      </c>
      <c r="J347" s="105">
        <v>0</v>
      </c>
      <c r="K347" s="106"/>
      <c r="L347" s="107"/>
    </row>
    <row r="348" spans="1:12" ht="19.5" x14ac:dyDescent="0.25">
      <c r="A348" s="28"/>
      <c r="B348" s="180"/>
      <c r="C348" s="102"/>
      <c r="D348" s="108">
        <v>2025</v>
      </c>
      <c r="E348" s="105">
        <f t="shared" si="11"/>
        <v>77632.2</v>
      </c>
      <c r="F348" s="122">
        <v>0</v>
      </c>
      <c r="G348" s="105">
        <v>0</v>
      </c>
      <c r="H348" s="123">
        <f>77632.2</f>
        <v>77632.2</v>
      </c>
      <c r="I348" s="105">
        <v>0</v>
      </c>
      <c r="J348" s="105">
        <v>0</v>
      </c>
      <c r="K348" s="106"/>
      <c r="L348" s="107"/>
    </row>
    <row r="349" spans="1:12" ht="20.25" thickBot="1" x14ac:dyDescent="0.3">
      <c r="A349" s="29"/>
      <c r="B349" s="193"/>
      <c r="C349" s="111"/>
      <c r="D349" s="124">
        <v>2026</v>
      </c>
      <c r="E349" s="113">
        <f t="shared" si="11"/>
        <v>77632.2</v>
      </c>
      <c r="F349" s="125">
        <v>0</v>
      </c>
      <c r="G349" s="113">
        <v>0</v>
      </c>
      <c r="H349" s="126">
        <f>77632.2</f>
        <v>77632.2</v>
      </c>
      <c r="I349" s="113">
        <v>0</v>
      </c>
      <c r="J349" s="113">
        <v>0</v>
      </c>
      <c r="K349" s="114"/>
      <c r="L349" s="115"/>
    </row>
    <row r="350" spans="1:12" ht="21.95" customHeight="1" x14ac:dyDescent="0.25">
      <c r="A350" s="27" t="s">
        <v>76</v>
      </c>
      <c r="B350" s="179" t="s">
        <v>77</v>
      </c>
      <c r="C350" s="96" t="e">
        <f>#REF!+#REF!+#REF!+#REF!+#REF!+#REF!+#REF!+#REF!</f>
        <v>#REF!</v>
      </c>
      <c r="D350" s="98">
        <v>2018</v>
      </c>
      <c r="E350" s="99">
        <f t="shared" si="11"/>
        <v>4261.5</v>
      </c>
      <c r="F350" s="99">
        <v>0</v>
      </c>
      <c r="G350" s="99">
        <v>0</v>
      </c>
      <c r="H350" s="99">
        <v>4261.5</v>
      </c>
      <c r="I350" s="99">
        <v>0</v>
      </c>
      <c r="J350" s="99">
        <v>0</v>
      </c>
      <c r="K350" s="100" t="s">
        <v>78</v>
      </c>
      <c r="L350" s="101" t="s">
        <v>31</v>
      </c>
    </row>
    <row r="351" spans="1:12" ht="21.95" customHeight="1" x14ac:dyDescent="0.25">
      <c r="A351" s="28"/>
      <c r="B351" s="180"/>
      <c r="C351" s="102"/>
      <c r="D351" s="104">
        <v>2019</v>
      </c>
      <c r="E351" s="105">
        <f t="shared" si="11"/>
        <v>9512</v>
      </c>
      <c r="F351" s="105">
        <v>0</v>
      </c>
      <c r="G351" s="105">
        <v>0</v>
      </c>
      <c r="H351" s="105">
        <v>9512</v>
      </c>
      <c r="I351" s="105">
        <v>0</v>
      </c>
      <c r="J351" s="105">
        <v>0</v>
      </c>
      <c r="K351" s="106"/>
      <c r="L351" s="107"/>
    </row>
    <row r="352" spans="1:12" ht="21.95" customHeight="1" x14ac:dyDescent="0.25">
      <c r="A352" s="28"/>
      <c r="B352" s="180"/>
      <c r="C352" s="102"/>
      <c r="D352" s="108">
        <v>2020</v>
      </c>
      <c r="E352" s="105">
        <f t="shared" si="11"/>
        <v>14875.1</v>
      </c>
      <c r="F352" s="122">
        <v>0</v>
      </c>
      <c r="G352" s="105">
        <v>0</v>
      </c>
      <c r="H352" s="105">
        <v>14875.1</v>
      </c>
      <c r="I352" s="105">
        <v>0</v>
      </c>
      <c r="J352" s="105">
        <v>0</v>
      </c>
      <c r="K352" s="106"/>
      <c r="L352" s="107"/>
    </row>
    <row r="353" spans="1:12" ht="21.95" customHeight="1" x14ac:dyDescent="0.25">
      <c r="A353" s="28"/>
      <c r="B353" s="180"/>
      <c r="C353" s="102"/>
      <c r="D353" s="108">
        <v>2021</v>
      </c>
      <c r="E353" s="105">
        <f t="shared" si="11"/>
        <v>20110.5</v>
      </c>
      <c r="F353" s="122">
        <v>0</v>
      </c>
      <c r="G353" s="105">
        <v>0</v>
      </c>
      <c r="H353" s="105">
        <v>20110.5</v>
      </c>
      <c r="I353" s="105">
        <v>0</v>
      </c>
      <c r="J353" s="105">
        <v>0</v>
      </c>
      <c r="K353" s="106"/>
      <c r="L353" s="107"/>
    </row>
    <row r="354" spans="1:12" ht="21.95" customHeight="1" x14ac:dyDescent="0.25">
      <c r="A354" s="28"/>
      <c r="B354" s="180"/>
      <c r="C354" s="102"/>
      <c r="D354" s="108">
        <v>2022</v>
      </c>
      <c r="E354" s="105">
        <f t="shared" si="11"/>
        <v>11547.3</v>
      </c>
      <c r="F354" s="122">
        <v>0</v>
      </c>
      <c r="G354" s="105">
        <v>0</v>
      </c>
      <c r="H354" s="105">
        <v>11547.3</v>
      </c>
      <c r="I354" s="105">
        <v>0</v>
      </c>
      <c r="J354" s="105">
        <v>0</v>
      </c>
      <c r="K354" s="106"/>
      <c r="L354" s="107"/>
    </row>
    <row r="355" spans="1:12" ht="21.95" customHeight="1" x14ac:dyDescent="0.25">
      <c r="A355" s="28"/>
      <c r="B355" s="180"/>
      <c r="C355" s="102"/>
      <c r="D355" s="108">
        <v>2023</v>
      </c>
      <c r="E355" s="105">
        <f t="shared" si="11"/>
        <v>17369</v>
      </c>
      <c r="F355" s="122">
        <v>0</v>
      </c>
      <c r="G355" s="105">
        <v>0</v>
      </c>
      <c r="H355" s="105">
        <f>20721.3-2739.1-1249.1+319.8+316.1</f>
        <v>17369</v>
      </c>
      <c r="I355" s="105">
        <v>0</v>
      </c>
      <c r="J355" s="105">
        <v>0</v>
      </c>
      <c r="K355" s="106"/>
      <c r="L355" s="107"/>
    </row>
    <row r="356" spans="1:12" ht="21.95" customHeight="1" x14ac:dyDescent="0.25">
      <c r="A356" s="28"/>
      <c r="B356" s="180"/>
      <c r="C356" s="102"/>
      <c r="D356" s="108">
        <v>2024</v>
      </c>
      <c r="E356" s="105">
        <f t="shared" si="11"/>
        <v>31500</v>
      </c>
      <c r="F356" s="122">
        <v>0</v>
      </c>
      <c r="G356" s="105">
        <v>0</v>
      </c>
      <c r="H356" s="123">
        <f>43069-11475-94</f>
        <v>31500</v>
      </c>
      <c r="I356" s="105">
        <v>0</v>
      </c>
      <c r="J356" s="105">
        <v>0</v>
      </c>
      <c r="K356" s="106"/>
      <c r="L356" s="107"/>
    </row>
    <row r="357" spans="1:12" ht="21.95" customHeight="1" x14ac:dyDescent="0.25">
      <c r="A357" s="28"/>
      <c r="B357" s="180"/>
      <c r="C357" s="102"/>
      <c r="D357" s="108">
        <v>2025</v>
      </c>
      <c r="E357" s="105">
        <f t="shared" si="11"/>
        <v>13402.4</v>
      </c>
      <c r="F357" s="122">
        <v>0</v>
      </c>
      <c r="G357" s="105">
        <v>0</v>
      </c>
      <c r="H357" s="123">
        <f>13402.4</f>
        <v>13402.4</v>
      </c>
      <c r="I357" s="105">
        <v>0</v>
      </c>
      <c r="J357" s="105">
        <v>0</v>
      </c>
      <c r="K357" s="106"/>
      <c r="L357" s="107"/>
    </row>
    <row r="358" spans="1:12" ht="21.95" customHeight="1" thickBot="1" x14ac:dyDescent="0.3">
      <c r="A358" s="29"/>
      <c r="B358" s="193"/>
      <c r="C358" s="111"/>
      <c r="D358" s="124">
        <v>2026</v>
      </c>
      <c r="E358" s="113">
        <f t="shared" si="11"/>
        <v>13402.4</v>
      </c>
      <c r="F358" s="125">
        <v>0</v>
      </c>
      <c r="G358" s="113">
        <v>0</v>
      </c>
      <c r="H358" s="126">
        <f>13402.4</f>
        <v>13402.4</v>
      </c>
      <c r="I358" s="113">
        <v>0</v>
      </c>
      <c r="J358" s="113">
        <v>0</v>
      </c>
      <c r="K358" s="114"/>
      <c r="L358" s="115"/>
    </row>
    <row r="359" spans="1:12" ht="21.95" customHeight="1" x14ac:dyDescent="0.25">
      <c r="A359" s="27" t="s">
        <v>79</v>
      </c>
      <c r="B359" s="200" t="s">
        <v>80</v>
      </c>
      <c r="C359" s="96" t="e">
        <f>#REF!+#REF!+#REF!+#REF!+#REF!+#REF!+#REF!+#REF!</f>
        <v>#REF!</v>
      </c>
      <c r="D359" s="98">
        <v>2018</v>
      </c>
      <c r="E359" s="99">
        <f t="shared" si="11"/>
        <v>0</v>
      </c>
      <c r="F359" s="99">
        <v>0</v>
      </c>
      <c r="G359" s="99">
        <v>0</v>
      </c>
      <c r="H359" s="99">
        <v>0</v>
      </c>
      <c r="I359" s="99">
        <v>0</v>
      </c>
      <c r="J359" s="99">
        <v>0</v>
      </c>
      <c r="K359" s="100" t="s">
        <v>81</v>
      </c>
      <c r="L359" s="101" t="s">
        <v>6</v>
      </c>
    </row>
    <row r="360" spans="1:12" ht="27" customHeight="1" x14ac:dyDescent="0.25">
      <c r="A360" s="28"/>
      <c r="B360" s="201"/>
      <c r="C360" s="102"/>
      <c r="D360" s="104">
        <v>2019</v>
      </c>
      <c r="E360" s="105">
        <f t="shared" si="11"/>
        <v>320</v>
      </c>
      <c r="F360" s="105">
        <v>0</v>
      </c>
      <c r="G360" s="105">
        <v>0</v>
      </c>
      <c r="H360" s="105">
        <v>320</v>
      </c>
      <c r="I360" s="105">
        <v>0</v>
      </c>
      <c r="J360" s="105">
        <v>0</v>
      </c>
      <c r="K360" s="106"/>
      <c r="L360" s="107"/>
    </row>
    <row r="361" spans="1:12" ht="27" customHeight="1" x14ac:dyDescent="0.25">
      <c r="A361" s="28"/>
      <c r="B361" s="201"/>
      <c r="C361" s="102"/>
      <c r="D361" s="108">
        <v>2020</v>
      </c>
      <c r="E361" s="105">
        <f t="shared" si="11"/>
        <v>0</v>
      </c>
      <c r="F361" s="122">
        <v>0</v>
      </c>
      <c r="G361" s="105">
        <v>0</v>
      </c>
      <c r="H361" s="105">
        <v>0</v>
      </c>
      <c r="I361" s="105">
        <v>0</v>
      </c>
      <c r="J361" s="105">
        <v>0</v>
      </c>
      <c r="K361" s="106"/>
      <c r="L361" s="107"/>
    </row>
    <row r="362" spans="1:12" ht="27" customHeight="1" x14ac:dyDescent="0.25">
      <c r="A362" s="28"/>
      <c r="B362" s="201"/>
      <c r="C362" s="102"/>
      <c r="D362" s="108">
        <v>2021</v>
      </c>
      <c r="E362" s="105">
        <f t="shared" si="11"/>
        <v>0</v>
      </c>
      <c r="F362" s="122">
        <v>0</v>
      </c>
      <c r="G362" s="105">
        <v>0</v>
      </c>
      <c r="H362" s="105">
        <v>0</v>
      </c>
      <c r="I362" s="105">
        <v>0</v>
      </c>
      <c r="J362" s="105">
        <v>0</v>
      </c>
      <c r="K362" s="106"/>
      <c r="L362" s="107"/>
    </row>
    <row r="363" spans="1:12" ht="27" customHeight="1" x14ac:dyDescent="0.25">
      <c r="A363" s="28"/>
      <c r="B363" s="201"/>
      <c r="C363" s="102"/>
      <c r="D363" s="108">
        <v>2022</v>
      </c>
      <c r="E363" s="105">
        <f t="shared" si="11"/>
        <v>0</v>
      </c>
      <c r="F363" s="122">
        <v>0</v>
      </c>
      <c r="G363" s="105">
        <v>0</v>
      </c>
      <c r="H363" s="105">
        <v>0</v>
      </c>
      <c r="I363" s="105">
        <v>0</v>
      </c>
      <c r="J363" s="105">
        <v>0</v>
      </c>
      <c r="K363" s="106"/>
      <c r="L363" s="107"/>
    </row>
    <row r="364" spans="1:12" ht="27" customHeight="1" x14ac:dyDescent="0.25">
      <c r="A364" s="28"/>
      <c r="B364" s="201"/>
      <c r="C364" s="102"/>
      <c r="D364" s="108">
        <v>2023</v>
      </c>
      <c r="E364" s="105">
        <f t="shared" si="11"/>
        <v>0</v>
      </c>
      <c r="F364" s="122">
        <v>0</v>
      </c>
      <c r="G364" s="105">
        <v>0</v>
      </c>
      <c r="H364" s="105">
        <v>0</v>
      </c>
      <c r="I364" s="105">
        <v>0</v>
      </c>
      <c r="J364" s="105">
        <v>0</v>
      </c>
      <c r="K364" s="106"/>
      <c r="L364" s="107"/>
    </row>
    <row r="365" spans="1:12" ht="19.5" x14ac:dyDescent="0.25">
      <c r="A365" s="28"/>
      <c r="B365" s="201"/>
      <c r="C365" s="102"/>
      <c r="D365" s="108">
        <v>2024</v>
      </c>
      <c r="E365" s="105">
        <f t="shared" si="11"/>
        <v>0</v>
      </c>
      <c r="F365" s="122">
        <v>0</v>
      </c>
      <c r="G365" s="105">
        <v>0</v>
      </c>
      <c r="H365" s="105">
        <v>0</v>
      </c>
      <c r="I365" s="105">
        <v>0</v>
      </c>
      <c r="J365" s="105">
        <v>0</v>
      </c>
      <c r="K365" s="106"/>
      <c r="L365" s="107"/>
    </row>
    <row r="366" spans="1:12" ht="19.5" x14ac:dyDescent="0.25">
      <c r="A366" s="28"/>
      <c r="B366" s="201"/>
      <c r="C366" s="102"/>
      <c r="D366" s="108">
        <v>2025</v>
      </c>
      <c r="E366" s="105">
        <f t="shared" si="11"/>
        <v>0</v>
      </c>
      <c r="F366" s="122">
        <v>0</v>
      </c>
      <c r="G366" s="105">
        <v>0</v>
      </c>
      <c r="H366" s="105">
        <v>0</v>
      </c>
      <c r="I366" s="105">
        <v>0</v>
      </c>
      <c r="J366" s="105">
        <v>0</v>
      </c>
      <c r="K366" s="106"/>
      <c r="L366" s="107"/>
    </row>
    <row r="367" spans="1:12" ht="27" customHeight="1" thickBot="1" x14ac:dyDescent="0.3">
      <c r="A367" s="29"/>
      <c r="B367" s="202"/>
      <c r="C367" s="111"/>
      <c r="D367" s="124">
        <v>2026</v>
      </c>
      <c r="E367" s="113">
        <f t="shared" si="11"/>
        <v>0</v>
      </c>
      <c r="F367" s="125">
        <v>0</v>
      </c>
      <c r="G367" s="113">
        <v>0</v>
      </c>
      <c r="H367" s="113">
        <v>0</v>
      </c>
      <c r="I367" s="113">
        <v>0</v>
      </c>
      <c r="J367" s="113">
        <v>0</v>
      </c>
      <c r="K367" s="114"/>
      <c r="L367" s="115"/>
    </row>
    <row r="368" spans="1:12" ht="42.6" customHeight="1" x14ac:dyDescent="0.25">
      <c r="A368" s="27" t="s">
        <v>82</v>
      </c>
      <c r="B368" s="200" t="s">
        <v>83</v>
      </c>
      <c r="C368" s="96" t="e">
        <f>#REF!+#REF!+#REF!+#REF!+#REF!+#REF!+#REF!+#REF!</f>
        <v>#REF!</v>
      </c>
      <c r="D368" s="98">
        <v>2018</v>
      </c>
      <c r="E368" s="99">
        <f t="shared" si="11"/>
        <v>1519.3</v>
      </c>
      <c r="F368" s="99">
        <v>0</v>
      </c>
      <c r="G368" s="99">
        <v>1519.3</v>
      </c>
      <c r="H368" s="99">
        <v>0</v>
      </c>
      <c r="I368" s="99">
        <v>0</v>
      </c>
      <c r="J368" s="99">
        <v>0</v>
      </c>
      <c r="K368" s="100" t="s">
        <v>84</v>
      </c>
      <c r="L368" s="101" t="s">
        <v>85</v>
      </c>
    </row>
    <row r="369" spans="1:12" ht="42.6" customHeight="1" x14ac:dyDescent="0.25">
      <c r="A369" s="28"/>
      <c r="B369" s="201"/>
      <c r="C369" s="102"/>
      <c r="D369" s="104">
        <v>2019</v>
      </c>
      <c r="E369" s="105">
        <f t="shared" si="11"/>
        <v>2994.3</v>
      </c>
      <c r="F369" s="105">
        <v>0</v>
      </c>
      <c r="G369" s="105">
        <v>2994.3</v>
      </c>
      <c r="H369" s="105">
        <v>0</v>
      </c>
      <c r="I369" s="105">
        <v>0</v>
      </c>
      <c r="J369" s="105">
        <v>0</v>
      </c>
      <c r="K369" s="106"/>
      <c r="L369" s="107"/>
    </row>
    <row r="370" spans="1:12" ht="42.6" customHeight="1" x14ac:dyDescent="0.25">
      <c r="A370" s="28"/>
      <c r="B370" s="201"/>
      <c r="C370" s="102"/>
      <c r="D370" s="103">
        <v>2020</v>
      </c>
      <c r="E370" s="105">
        <f t="shared" si="11"/>
        <v>5667.1</v>
      </c>
      <c r="F370" s="109">
        <v>0</v>
      </c>
      <c r="G370" s="105">
        <v>5667.1</v>
      </c>
      <c r="H370" s="105">
        <v>0</v>
      </c>
      <c r="I370" s="105">
        <v>0</v>
      </c>
      <c r="J370" s="105">
        <v>0</v>
      </c>
      <c r="K370" s="106"/>
      <c r="L370" s="107"/>
    </row>
    <row r="371" spans="1:12" ht="42.6" customHeight="1" x14ac:dyDescent="0.25">
      <c r="A371" s="28"/>
      <c r="B371" s="201"/>
      <c r="C371" s="102"/>
      <c r="D371" s="103">
        <v>2021</v>
      </c>
      <c r="E371" s="105">
        <f t="shared" si="11"/>
        <v>3376.6</v>
      </c>
      <c r="F371" s="109">
        <v>0</v>
      </c>
      <c r="G371" s="105">
        <v>3376.6</v>
      </c>
      <c r="H371" s="105">
        <v>0</v>
      </c>
      <c r="I371" s="105">
        <v>0</v>
      </c>
      <c r="J371" s="105">
        <v>0</v>
      </c>
      <c r="K371" s="106"/>
      <c r="L371" s="107"/>
    </row>
    <row r="372" spans="1:12" ht="42.6" customHeight="1" x14ac:dyDescent="0.25">
      <c r="A372" s="28"/>
      <c r="B372" s="201"/>
      <c r="C372" s="102"/>
      <c r="D372" s="103">
        <v>2022</v>
      </c>
      <c r="E372" s="105">
        <f t="shared" si="11"/>
        <v>6452.5</v>
      </c>
      <c r="F372" s="109">
        <v>0</v>
      </c>
      <c r="G372" s="105">
        <f>3927+1807.5+718</f>
        <v>6452.5</v>
      </c>
      <c r="H372" s="105">
        <v>0</v>
      </c>
      <c r="I372" s="105">
        <v>0</v>
      </c>
      <c r="J372" s="105">
        <v>0</v>
      </c>
      <c r="K372" s="106"/>
      <c r="L372" s="107"/>
    </row>
    <row r="373" spans="1:12" ht="42.6" customHeight="1" x14ac:dyDescent="0.25">
      <c r="A373" s="28"/>
      <c r="B373" s="201"/>
      <c r="C373" s="102"/>
      <c r="D373" s="103">
        <v>2023</v>
      </c>
      <c r="E373" s="105">
        <f t="shared" si="11"/>
        <v>3372.5</v>
      </c>
      <c r="F373" s="109">
        <v>0</v>
      </c>
      <c r="G373" s="105">
        <f>3047.4+325.1</f>
        <v>3372.5</v>
      </c>
      <c r="H373" s="105">
        <v>0</v>
      </c>
      <c r="I373" s="105">
        <v>0</v>
      </c>
      <c r="J373" s="105">
        <v>0</v>
      </c>
      <c r="K373" s="106"/>
      <c r="L373" s="107"/>
    </row>
    <row r="374" spans="1:12" ht="42.6" customHeight="1" x14ac:dyDescent="0.25">
      <c r="A374" s="28"/>
      <c r="B374" s="201"/>
      <c r="C374" s="102"/>
      <c r="D374" s="103">
        <v>2024</v>
      </c>
      <c r="E374" s="105">
        <f t="shared" si="11"/>
        <v>3908.9</v>
      </c>
      <c r="F374" s="109">
        <v>0</v>
      </c>
      <c r="G374" s="105">
        <f>3908.9</f>
        <v>3908.9</v>
      </c>
      <c r="H374" s="105">
        <v>0</v>
      </c>
      <c r="I374" s="105">
        <v>0</v>
      </c>
      <c r="J374" s="105">
        <v>0</v>
      </c>
      <c r="K374" s="106"/>
      <c r="L374" s="107"/>
    </row>
    <row r="375" spans="1:12" ht="42.6" customHeight="1" x14ac:dyDescent="0.25">
      <c r="A375" s="28"/>
      <c r="B375" s="201"/>
      <c r="C375" s="102"/>
      <c r="D375" s="103">
        <v>2025</v>
      </c>
      <c r="E375" s="105">
        <f t="shared" si="11"/>
        <v>3780.1</v>
      </c>
      <c r="F375" s="109">
        <v>0</v>
      </c>
      <c r="G375" s="105">
        <f>3780.1</f>
        <v>3780.1</v>
      </c>
      <c r="H375" s="105">
        <v>0</v>
      </c>
      <c r="I375" s="105">
        <v>0</v>
      </c>
      <c r="J375" s="105">
        <v>0</v>
      </c>
      <c r="K375" s="106"/>
      <c r="L375" s="107"/>
    </row>
    <row r="376" spans="1:12" ht="42.6" customHeight="1" thickBot="1" x14ac:dyDescent="0.3">
      <c r="A376" s="29"/>
      <c r="B376" s="202"/>
      <c r="C376" s="111"/>
      <c r="D376" s="196">
        <v>2026</v>
      </c>
      <c r="E376" s="113">
        <f t="shared" si="11"/>
        <v>3748.3</v>
      </c>
      <c r="F376" s="203">
        <v>0</v>
      </c>
      <c r="G376" s="113">
        <v>3748.3</v>
      </c>
      <c r="H376" s="113">
        <v>0</v>
      </c>
      <c r="I376" s="113">
        <v>0</v>
      </c>
      <c r="J376" s="113">
        <v>0</v>
      </c>
      <c r="K376" s="114"/>
      <c r="L376" s="115"/>
    </row>
    <row r="377" spans="1:12" ht="27" customHeight="1" x14ac:dyDescent="0.25">
      <c r="A377" s="27" t="s">
        <v>87</v>
      </c>
      <c r="B377" s="200" t="s">
        <v>86</v>
      </c>
      <c r="C377" s="96" t="e">
        <f>#REF!+#REF!+#REF!+#REF!+#REF!+#REF!+#REF!+#REF!</f>
        <v>#REF!</v>
      </c>
      <c r="D377" s="98">
        <v>2018</v>
      </c>
      <c r="E377" s="99">
        <f t="shared" si="11"/>
        <v>6287.5</v>
      </c>
      <c r="F377" s="99">
        <v>0</v>
      </c>
      <c r="G377" s="99">
        <v>3143.7</v>
      </c>
      <c r="H377" s="99">
        <v>3143.8</v>
      </c>
      <c r="I377" s="99">
        <v>3143.7</v>
      </c>
      <c r="J377" s="99">
        <v>0</v>
      </c>
      <c r="K377" s="100" t="s">
        <v>88</v>
      </c>
      <c r="L377" s="101" t="s">
        <v>6</v>
      </c>
    </row>
    <row r="378" spans="1:12" ht="27" customHeight="1" x14ac:dyDescent="0.25">
      <c r="A378" s="28"/>
      <c r="B378" s="201"/>
      <c r="C378" s="102"/>
      <c r="D378" s="104">
        <v>2019</v>
      </c>
      <c r="E378" s="105">
        <f t="shared" si="11"/>
        <v>3490.8</v>
      </c>
      <c r="F378" s="105">
        <v>0</v>
      </c>
      <c r="G378" s="105">
        <v>1650.3</v>
      </c>
      <c r="H378" s="105">
        <v>1840.5</v>
      </c>
      <c r="I378" s="105">
        <v>1650.5</v>
      </c>
      <c r="J378" s="105">
        <v>0</v>
      </c>
      <c r="K378" s="106"/>
      <c r="L378" s="107"/>
    </row>
    <row r="379" spans="1:12" ht="27" customHeight="1" x14ac:dyDescent="0.25">
      <c r="A379" s="28"/>
      <c r="B379" s="201"/>
      <c r="C379" s="102"/>
      <c r="D379" s="108">
        <v>2020</v>
      </c>
      <c r="E379" s="105">
        <f t="shared" si="11"/>
        <v>133</v>
      </c>
      <c r="F379" s="122">
        <v>0</v>
      </c>
      <c r="G379" s="105">
        <v>0</v>
      </c>
      <c r="H379" s="105">
        <v>133</v>
      </c>
      <c r="I379" s="105">
        <v>0</v>
      </c>
      <c r="J379" s="105">
        <v>0</v>
      </c>
      <c r="K379" s="106"/>
      <c r="L379" s="107"/>
    </row>
    <row r="380" spans="1:12" ht="27" customHeight="1" x14ac:dyDescent="0.25">
      <c r="A380" s="28"/>
      <c r="B380" s="201"/>
      <c r="C380" s="102"/>
      <c r="D380" s="108">
        <v>2021</v>
      </c>
      <c r="E380" s="105">
        <f t="shared" si="11"/>
        <v>0</v>
      </c>
      <c r="F380" s="122">
        <v>0</v>
      </c>
      <c r="G380" s="105">
        <v>0</v>
      </c>
      <c r="H380" s="105">
        <v>0</v>
      </c>
      <c r="I380" s="105">
        <v>0</v>
      </c>
      <c r="J380" s="105">
        <v>0</v>
      </c>
      <c r="K380" s="106"/>
      <c r="L380" s="107"/>
    </row>
    <row r="381" spans="1:12" ht="27" customHeight="1" x14ac:dyDescent="0.25">
      <c r="A381" s="28"/>
      <c r="B381" s="201"/>
      <c r="C381" s="102"/>
      <c r="D381" s="108">
        <v>2022</v>
      </c>
      <c r="E381" s="105">
        <f t="shared" si="11"/>
        <v>50</v>
      </c>
      <c r="F381" s="122">
        <v>0</v>
      </c>
      <c r="G381" s="105">
        <v>0</v>
      </c>
      <c r="H381" s="105">
        <f>180.5-80.5-50</f>
        <v>50</v>
      </c>
      <c r="I381" s="105">
        <v>0</v>
      </c>
      <c r="J381" s="105">
        <v>0</v>
      </c>
      <c r="K381" s="106"/>
      <c r="L381" s="107"/>
    </row>
    <row r="382" spans="1:12" ht="27" customHeight="1" x14ac:dyDescent="0.25">
      <c r="A382" s="28"/>
      <c r="B382" s="201"/>
      <c r="C382" s="102"/>
      <c r="D382" s="108">
        <v>2023</v>
      </c>
      <c r="E382" s="105">
        <f t="shared" si="11"/>
        <v>0</v>
      </c>
      <c r="F382" s="122">
        <v>0</v>
      </c>
      <c r="G382" s="105">
        <v>0</v>
      </c>
      <c r="H382" s="105">
        <v>0</v>
      </c>
      <c r="I382" s="105">
        <v>0</v>
      </c>
      <c r="J382" s="105">
        <v>0</v>
      </c>
      <c r="K382" s="106"/>
      <c r="L382" s="107"/>
    </row>
    <row r="383" spans="1:12" ht="27" customHeight="1" x14ac:dyDescent="0.25">
      <c r="A383" s="28"/>
      <c r="B383" s="201"/>
      <c r="C383" s="102"/>
      <c r="D383" s="108">
        <v>2024</v>
      </c>
      <c r="E383" s="105">
        <f t="shared" si="11"/>
        <v>0</v>
      </c>
      <c r="F383" s="122">
        <v>0</v>
      </c>
      <c r="G383" s="105">
        <v>0</v>
      </c>
      <c r="H383" s="123">
        <v>0</v>
      </c>
      <c r="I383" s="105">
        <v>0</v>
      </c>
      <c r="J383" s="105">
        <v>0</v>
      </c>
      <c r="K383" s="106"/>
      <c r="L383" s="107"/>
    </row>
    <row r="384" spans="1:12" ht="27" customHeight="1" x14ac:dyDescent="0.25">
      <c r="A384" s="28"/>
      <c r="B384" s="201"/>
      <c r="C384" s="102"/>
      <c r="D384" s="108">
        <v>2025</v>
      </c>
      <c r="E384" s="105">
        <f t="shared" si="11"/>
        <v>0</v>
      </c>
      <c r="F384" s="122">
        <v>0</v>
      </c>
      <c r="G384" s="105">
        <v>0</v>
      </c>
      <c r="H384" s="123"/>
      <c r="I384" s="105">
        <v>0</v>
      </c>
      <c r="J384" s="105">
        <v>0</v>
      </c>
      <c r="K384" s="106"/>
      <c r="L384" s="107"/>
    </row>
    <row r="385" spans="1:12" ht="27" customHeight="1" thickBot="1" x14ac:dyDescent="0.3">
      <c r="A385" s="29"/>
      <c r="B385" s="202"/>
      <c r="C385" s="111"/>
      <c r="D385" s="124">
        <v>2026</v>
      </c>
      <c r="E385" s="113">
        <f t="shared" si="11"/>
        <v>0</v>
      </c>
      <c r="F385" s="125">
        <v>0</v>
      </c>
      <c r="G385" s="113">
        <v>0</v>
      </c>
      <c r="H385" s="126"/>
      <c r="I385" s="113">
        <v>0</v>
      </c>
      <c r="J385" s="113">
        <v>0</v>
      </c>
      <c r="K385" s="114"/>
      <c r="L385" s="115"/>
    </row>
    <row r="386" spans="1:12" ht="27" customHeight="1" x14ac:dyDescent="0.25">
      <c r="A386" s="27" t="s">
        <v>89</v>
      </c>
      <c r="B386" s="200" t="s">
        <v>90</v>
      </c>
      <c r="C386" s="96" t="e">
        <f>#REF!+#REF!+#REF!+#REF!+#REF!+#REF!+#REF!+#REF!</f>
        <v>#REF!</v>
      </c>
      <c r="D386" s="98">
        <v>2018</v>
      </c>
      <c r="E386" s="99">
        <f t="shared" si="11"/>
        <v>0</v>
      </c>
      <c r="F386" s="99">
        <v>0</v>
      </c>
      <c r="G386" s="99">
        <v>0</v>
      </c>
      <c r="H386" s="99">
        <v>0</v>
      </c>
      <c r="I386" s="99">
        <v>0</v>
      </c>
      <c r="J386" s="99">
        <v>0</v>
      </c>
      <c r="K386" s="100" t="s">
        <v>91</v>
      </c>
      <c r="L386" s="101" t="s">
        <v>6</v>
      </c>
    </row>
    <row r="387" spans="1:12" ht="27" customHeight="1" x14ac:dyDescent="0.25">
      <c r="A387" s="28"/>
      <c r="B387" s="201"/>
      <c r="C387" s="102"/>
      <c r="D387" s="104">
        <v>2019</v>
      </c>
      <c r="E387" s="105">
        <f t="shared" si="11"/>
        <v>0</v>
      </c>
      <c r="F387" s="105">
        <v>0</v>
      </c>
      <c r="G387" s="105">
        <v>0</v>
      </c>
      <c r="H387" s="105">
        <v>0</v>
      </c>
      <c r="I387" s="105">
        <v>0</v>
      </c>
      <c r="J387" s="105">
        <v>0</v>
      </c>
      <c r="K387" s="106"/>
      <c r="L387" s="107"/>
    </row>
    <row r="388" spans="1:12" ht="27" customHeight="1" x14ac:dyDescent="0.25">
      <c r="A388" s="28"/>
      <c r="B388" s="201"/>
      <c r="C388" s="102"/>
      <c r="D388" s="108">
        <v>2020</v>
      </c>
      <c r="E388" s="105">
        <f t="shared" si="11"/>
        <v>0</v>
      </c>
      <c r="F388" s="122">
        <v>0</v>
      </c>
      <c r="G388" s="105">
        <v>0</v>
      </c>
      <c r="H388" s="105">
        <v>0</v>
      </c>
      <c r="I388" s="105">
        <v>0</v>
      </c>
      <c r="J388" s="105">
        <v>0</v>
      </c>
      <c r="K388" s="106"/>
      <c r="L388" s="107"/>
    </row>
    <row r="389" spans="1:12" ht="27" customHeight="1" x14ac:dyDescent="0.25">
      <c r="A389" s="28"/>
      <c r="B389" s="201"/>
      <c r="C389" s="102"/>
      <c r="D389" s="108">
        <v>2021</v>
      </c>
      <c r="E389" s="105">
        <f t="shared" si="11"/>
        <v>0</v>
      </c>
      <c r="F389" s="122">
        <v>0</v>
      </c>
      <c r="G389" s="105">
        <v>0</v>
      </c>
      <c r="H389" s="105">
        <v>0</v>
      </c>
      <c r="I389" s="105">
        <v>0</v>
      </c>
      <c r="J389" s="105">
        <v>0</v>
      </c>
      <c r="K389" s="106"/>
      <c r="L389" s="107"/>
    </row>
    <row r="390" spans="1:12" ht="27" customHeight="1" x14ac:dyDescent="0.25">
      <c r="A390" s="28"/>
      <c r="B390" s="201"/>
      <c r="C390" s="102"/>
      <c r="D390" s="108">
        <v>2022</v>
      </c>
      <c r="E390" s="105">
        <f t="shared" si="11"/>
        <v>7283.5</v>
      </c>
      <c r="F390" s="122">
        <v>0</v>
      </c>
      <c r="G390" s="105">
        <f>4018-3</f>
        <v>4015</v>
      </c>
      <c r="H390" s="105">
        <f>2978+292.8-2-0.3</f>
        <v>3268.5</v>
      </c>
      <c r="I390" s="105">
        <f>446.5-0.3</f>
        <v>446.2</v>
      </c>
      <c r="J390" s="105">
        <v>0</v>
      </c>
      <c r="K390" s="106"/>
      <c r="L390" s="107"/>
    </row>
    <row r="391" spans="1:12" ht="27" customHeight="1" x14ac:dyDescent="0.25">
      <c r="A391" s="28"/>
      <c r="B391" s="201"/>
      <c r="C391" s="102"/>
      <c r="D391" s="108">
        <v>2023</v>
      </c>
      <c r="E391" s="105">
        <f t="shared" si="11"/>
        <v>0</v>
      </c>
      <c r="F391" s="122">
        <v>0</v>
      </c>
      <c r="G391" s="105">
        <v>0</v>
      </c>
      <c r="H391" s="105">
        <v>0</v>
      </c>
      <c r="I391" s="105">
        <v>0</v>
      </c>
      <c r="J391" s="105">
        <v>0</v>
      </c>
      <c r="K391" s="106"/>
      <c r="L391" s="107"/>
    </row>
    <row r="392" spans="1:12" ht="27" customHeight="1" x14ac:dyDescent="0.25">
      <c r="A392" s="28"/>
      <c r="B392" s="201"/>
      <c r="C392" s="102"/>
      <c r="D392" s="108">
        <v>2024</v>
      </c>
      <c r="E392" s="105">
        <f t="shared" si="11"/>
        <v>0</v>
      </c>
      <c r="F392" s="122">
        <v>0</v>
      </c>
      <c r="G392" s="105">
        <v>0</v>
      </c>
      <c r="H392" s="123">
        <v>0</v>
      </c>
      <c r="I392" s="123">
        <v>0</v>
      </c>
      <c r="J392" s="105">
        <v>0</v>
      </c>
      <c r="K392" s="106"/>
      <c r="L392" s="107"/>
    </row>
    <row r="393" spans="1:12" ht="27" customHeight="1" x14ac:dyDescent="0.25">
      <c r="A393" s="28"/>
      <c r="B393" s="201"/>
      <c r="C393" s="102"/>
      <c r="D393" s="108">
        <v>2025</v>
      </c>
      <c r="E393" s="105">
        <f t="shared" si="11"/>
        <v>0</v>
      </c>
      <c r="F393" s="122">
        <v>0</v>
      </c>
      <c r="G393" s="105">
        <v>0</v>
      </c>
      <c r="H393" s="123">
        <v>0</v>
      </c>
      <c r="I393" s="123">
        <v>0</v>
      </c>
      <c r="J393" s="105">
        <v>0</v>
      </c>
      <c r="K393" s="106"/>
      <c r="L393" s="107"/>
    </row>
    <row r="394" spans="1:12" ht="27" customHeight="1" thickBot="1" x14ac:dyDescent="0.3">
      <c r="A394" s="29"/>
      <c r="B394" s="202"/>
      <c r="C394" s="111"/>
      <c r="D394" s="124">
        <v>2026</v>
      </c>
      <c r="E394" s="113">
        <f t="shared" si="11"/>
        <v>0</v>
      </c>
      <c r="F394" s="125">
        <v>0</v>
      </c>
      <c r="G394" s="113">
        <v>0</v>
      </c>
      <c r="H394" s="126">
        <v>0</v>
      </c>
      <c r="I394" s="126">
        <v>0</v>
      </c>
      <c r="J394" s="113">
        <v>0</v>
      </c>
      <c r="K394" s="114"/>
      <c r="L394" s="115"/>
    </row>
    <row r="395" spans="1:12" ht="27" customHeight="1" x14ac:dyDescent="0.25">
      <c r="A395" s="27" t="s">
        <v>92</v>
      </c>
      <c r="B395" s="200" t="s">
        <v>93</v>
      </c>
      <c r="C395" s="96" t="e">
        <f>#REF!+#REF!+#REF!+#REF!+#REF!+#REF!+#REF!+#REF!</f>
        <v>#REF!</v>
      </c>
      <c r="D395" s="98">
        <v>2018</v>
      </c>
      <c r="E395" s="99">
        <f t="shared" si="11"/>
        <v>2756.1</v>
      </c>
      <c r="F395" s="99">
        <v>0</v>
      </c>
      <c r="G395" s="99">
        <v>0</v>
      </c>
      <c r="H395" s="99">
        <v>2756.1</v>
      </c>
      <c r="I395" s="99">
        <v>0</v>
      </c>
      <c r="J395" s="99">
        <v>0</v>
      </c>
      <c r="K395" s="100" t="s">
        <v>94</v>
      </c>
      <c r="L395" s="101" t="s">
        <v>31</v>
      </c>
    </row>
    <row r="396" spans="1:12" ht="27" customHeight="1" x14ac:dyDescent="0.25">
      <c r="A396" s="28"/>
      <c r="B396" s="201"/>
      <c r="C396" s="102"/>
      <c r="D396" s="104">
        <v>2019</v>
      </c>
      <c r="E396" s="105">
        <f t="shared" ref="E396:E467" si="12">F396+G396+H396+J396</f>
        <v>1148.3</v>
      </c>
      <c r="F396" s="105">
        <v>0</v>
      </c>
      <c r="G396" s="105">
        <v>0</v>
      </c>
      <c r="H396" s="105">
        <v>1148.3</v>
      </c>
      <c r="I396" s="105">
        <v>0</v>
      </c>
      <c r="J396" s="105">
        <v>0</v>
      </c>
      <c r="K396" s="106"/>
      <c r="L396" s="107"/>
    </row>
    <row r="397" spans="1:12" ht="27" customHeight="1" x14ac:dyDescent="0.25">
      <c r="A397" s="28"/>
      <c r="B397" s="201"/>
      <c r="C397" s="102"/>
      <c r="D397" s="108">
        <v>2020</v>
      </c>
      <c r="E397" s="105">
        <f t="shared" si="12"/>
        <v>0</v>
      </c>
      <c r="F397" s="122">
        <v>0</v>
      </c>
      <c r="G397" s="105">
        <v>0</v>
      </c>
      <c r="H397" s="105">
        <v>0</v>
      </c>
      <c r="I397" s="105">
        <v>0</v>
      </c>
      <c r="J397" s="105">
        <v>0</v>
      </c>
      <c r="K397" s="106"/>
      <c r="L397" s="107"/>
    </row>
    <row r="398" spans="1:12" ht="27" customHeight="1" x14ac:dyDescent="0.25">
      <c r="A398" s="28"/>
      <c r="B398" s="201"/>
      <c r="C398" s="102"/>
      <c r="D398" s="108">
        <v>2021</v>
      </c>
      <c r="E398" s="105">
        <f t="shared" si="12"/>
        <v>0</v>
      </c>
      <c r="F398" s="122">
        <v>0</v>
      </c>
      <c r="G398" s="105">
        <v>0</v>
      </c>
      <c r="H398" s="105">
        <v>0</v>
      </c>
      <c r="I398" s="105">
        <v>0</v>
      </c>
      <c r="J398" s="105">
        <v>0</v>
      </c>
      <c r="K398" s="106"/>
      <c r="L398" s="107"/>
    </row>
    <row r="399" spans="1:12" ht="27" customHeight="1" x14ac:dyDescent="0.25">
      <c r="A399" s="28"/>
      <c r="B399" s="201"/>
      <c r="C399" s="102"/>
      <c r="D399" s="108">
        <v>2022</v>
      </c>
      <c r="E399" s="105">
        <f t="shared" si="12"/>
        <v>0</v>
      </c>
      <c r="F399" s="122">
        <v>0</v>
      </c>
      <c r="G399" s="105">
        <v>0</v>
      </c>
      <c r="H399" s="105">
        <v>0</v>
      </c>
      <c r="I399" s="105">
        <v>0</v>
      </c>
      <c r="J399" s="105">
        <v>0</v>
      </c>
      <c r="K399" s="106"/>
      <c r="L399" s="107"/>
    </row>
    <row r="400" spans="1:12" ht="27" customHeight="1" x14ac:dyDescent="0.25">
      <c r="A400" s="28"/>
      <c r="B400" s="201"/>
      <c r="C400" s="102"/>
      <c r="D400" s="108">
        <v>2023</v>
      </c>
      <c r="E400" s="105">
        <f t="shared" si="12"/>
        <v>0</v>
      </c>
      <c r="F400" s="122">
        <v>0</v>
      </c>
      <c r="G400" s="105">
        <v>0</v>
      </c>
      <c r="H400" s="105">
        <v>0</v>
      </c>
      <c r="I400" s="105">
        <v>0</v>
      </c>
      <c r="J400" s="105">
        <v>0</v>
      </c>
      <c r="K400" s="106"/>
      <c r="L400" s="107"/>
    </row>
    <row r="401" spans="1:12" ht="27" customHeight="1" x14ac:dyDescent="0.25">
      <c r="A401" s="28"/>
      <c r="B401" s="201"/>
      <c r="C401" s="102"/>
      <c r="D401" s="108">
        <v>2024</v>
      </c>
      <c r="E401" s="105">
        <f t="shared" si="12"/>
        <v>0</v>
      </c>
      <c r="F401" s="122">
        <v>0</v>
      </c>
      <c r="G401" s="105">
        <v>0</v>
      </c>
      <c r="H401" s="105">
        <v>0</v>
      </c>
      <c r="I401" s="105">
        <v>0</v>
      </c>
      <c r="J401" s="105">
        <v>0</v>
      </c>
      <c r="K401" s="106"/>
      <c r="L401" s="107"/>
    </row>
    <row r="402" spans="1:12" ht="27" customHeight="1" x14ac:dyDescent="0.25">
      <c r="A402" s="28"/>
      <c r="B402" s="201"/>
      <c r="C402" s="102"/>
      <c r="D402" s="108">
        <v>2025</v>
      </c>
      <c r="E402" s="105">
        <f t="shared" si="12"/>
        <v>0</v>
      </c>
      <c r="F402" s="122">
        <v>0</v>
      </c>
      <c r="G402" s="105">
        <v>0</v>
      </c>
      <c r="H402" s="105">
        <v>0</v>
      </c>
      <c r="I402" s="105">
        <v>0</v>
      </c>
      <c r="J402" s="105">
        <v>0</v>
      </c>
      <c r="K402" s="106"/>
      <c r="L402" s="107"/>
    </row>
    <row r="403" spans="1:12" ht="27" customHeight="1" thickBot="1" x14ac:dyDescent="0.3">
      <c r="A403" s="29"/>
      <c r="B403" s="202"/>
      <c r="C403" s="111"/>
      <c r="D403" s="124">
        <v>2026</v>
      </c>
      <c r="E403" s="113">
        <f t="shared" si="12"/>
        <v>0</v>
      </c>
      <c r="F403" s="125">
        <v>0</v>
      </c>
      <c r="G403" s="113">
        <v>0</v>
      </c>
      <c r="H403" s="113">
        <v>0</v>
      </c>
      <c r="I403" s="113">
        <v>0</v>
      </c>
      <c r="J403" s="113">
        <v>0</v>
      </c>
      <c r="K403" s="114"/>
      <c r="L403" s="115"/>
    </row>
    <row r="404" spans="1:12" ht="30.95" customHeight="1" x14ac:dyDescent="0.25">
      <c r="A404" s="27" t="s">
        <v>95</v>
      </c>
      <c r="B404" s="200" t="s">
        <v>96</v>
      </c>
      <c r="C404" s="96" t="e">
        <f>#REF!+#REF!+#REF!+#REF!+#REF!+#REF!+#REF!+#REF!</f>
        <v>#REF!</v>
      </c>
      <c r="D404" s="98">
        <v>2018</v>
      </c>
      <c r="E404" s="99">
        <f t="shared" si="12"/>
        <v>0</v>
      </c>
      <c r="F404" s="99">
        <v>0</v>
      </c>
      <c r="G404" s="99">
        <v>0</v>
      </c>
      <c r="H404" s="99">
        <v>0</v>
      </c>
      <c r="I404" s="99">
        <v>0</v>
      </c>
      <c r="J404" s="99">
        <v>0</v>
      </c>
      <c r="K404" s="100" t="s">
        <v>184</v>
      </c>
      <c r="L404" s="101" t="s">
        <v>31</v>
      </c>
    </row>
    <row r="405" spans="1:12" ht="30.95" customHeight="1" x14ac:dyDescent="0.25">
      <c r="A405" s="28"/>
      <c r="B405" s="201"/>
      <c r="C405" s="102"/>
      <c r="D405" s="104">
        <v>2019</v>
      </c>
      <c r="E405" s="105">
        <f t="shared" si="12"/>
        <v>0</v>
      </c>
      <c r="F405" s="105">
        <v>0</v>
      </c>
      <c r="G405" s="105">
        <v>0</v>
      </c>
      <c r="H405" s="105">
        <v>0</v>
      </c>
      <c r="I405" s="105">
        <v>0</v>
      </c>
      <c r="J405" s="105">
        <v>0</v>
      </c>
      <c r="K405" s="106"/>
      <c r="L405" s="107"/>
    </row>
    <row r="406" spans="1:12" ht="30.95" customHeight="1" x14ac:dyDescent="0.25">
      <c r="A406" s="28"/>
      <c r="B406" s="201"/>
      <c r="C406" s="102"/>
      <c r="D406" s="108">
        <v>2020</v>
      </c>
      <c r="E406" s="105">
        <f t="shared" si="12"/>
        <v>1575.9</v>
      </c>
      <c r="F406" s="122">
        <v>0</v>
      </c>
      <c r="G406" s="105">
        <v>0</v>
      </c>
      <c r="H406" s="105">
        <v>1575.9</v>
      </c>
      <c r="I406" s="105">
        <v>0</v>
      </c>
      <c r="J406" s="105">
        <v>0</v>
      </c>
      <c r="K406" s="106"/>
      <c r="L406" s="107"/>
    </row>
    <row r="407" spans="1:12" ht="30.95" customHeight="1" x14ac:dyDescent="0.25">
      <c r="A407" s="28"/>
      <c r="B407" s="201"/>
      <c r="C407" s="102"/>
      <c r="D407" s="108">
        <v>2021</v>
      </c>
      <c r="E407" s="105">
        <f t="shared" si="12"/>
        <v>1613.8</v>
      </c>
      <c r="F407" s="122">
        <v>0</v>
      </c>
      <c r="G407" s="105">
        <v>0</v>
      </c>
      <c r="H407" s="105">
        <v>1613.8</v>
      </c>
      <c r="I407" s="105">
        <v>0</v>
      </c>
      <c r="J407" s="105">
        <v>0</v>
      </c>
      <c r="K407" s="106"/>
      <c r="L407" s="107"/>
    </row>
    <row r="408" spans="1:12" ht="30.95" customHeight="1" x14ac:dyDescent="0.25">
      <c r="A408" s="28"/>
      <c r="B408" s="201"/>
      <c r="C408" s="102"/>
      <c r="D408" s="108">
        <v>2022</v>
      </c>
      <c r="E408" s="105">
        <f t="shared" si="12"/>
        <v>1505.8999999999999</v>
      </c>
      <c r="F408" s="122">
        <v>0</v>
      </c>
      <c r="G408" s="105">
        <v>0</v>
      </c>
      <c r="H408" s="105">
        <f>1667.1-46.5-114.7</f>
        <v>1505.8999999999999</v>
      </c>
      <c r="I408" s="105">
        <v>0</v>
      </c>
      <c r="J408" s="105">
        <v>0</v>
      </c>
      <c r="K408" s="106"/>
      <c r="L408" s="107"/>
    </row>
    <row r="409" spans="1:12" ht="30.95" customHeight="1" x14ac:dyDescent="0.25">
      <c r="A409" s="28"/>
      <c r="B409" s="201"/>
      <c r="C409" s="102"/>
      <c r="D409" s="108">
        <v>2023</v>
      </c>
      <c r="E409" s="105">
        <f t="shared" si="12"/>
        <v>1273.0999999999999</v>
      </c>
      <c r="F409" s="122">
        <v>0</v>
      </c>
      <c r="G409" s="105">
        <v>0</v>
      </c>
      <c r="H409" s="105">
        <f>1710.3-214.9-84-138.3</f>
        <v>1273.0999999999999</v>
      </c>
      <c r="I409" s="105">
        <v>0</v>
      </c>
      <c r="J409" s="105">
        <v>0</v>
      </c>
      <c r="K409" s="106"/>
      <c r="L409" s="107"/>
    </row>
    <row r="410" spans="1:12" ht="30.95" customHeight="1" x14ac:dyDescent="0.25">
      <c r="A410" s="28"/>
      <c r="B410" s="201"/>
      <c r="C410" s="102"/>
      <c r="D410" s="108">
        <v>2024</v>
      </c>
      <c r="E410" s="105">
        <f t="shared" si="12"/>
        <v>1733.4</v>
      </c>
      <c r="F410" s="122">
        <v>0</v>
      </c>
      <c r="G410" s="105">
        <v>0</v>
      </c>
      <c r="H410" s="123">
        <f>1835.4-45-57</f>
        <v>1733.4</v>
      </c>
      <c r="I410" s="105">
        <v>0</v>
      </c>
      <c r="J410" s="105">
        <v>0</v>
      </c>
      <c r="K410" s="106"/>
      <c r="L410" s="107"/>
    </row>
    <row r="411" spans="1:12" ht="30.95" customHeight="1" x14ac:dyDescent="0.25">
      <c r="A411" s="28"/>
      <c r="B411" s="201"/>
      <c r="C411" s="102"/>
      <c r="D411" s="108">
        <v>2025</v>
      </c>
      <c r="E411" s="105">
        <f t="shared" si="12"/>
        <v>1835.4</v>
      </c>
      <c r="F411" s="122">
        <v>0</v>
      </c>
      <c r="G411" s="105">
        <v>0</v>
      </c>
      <c r="H411" s="123">
        <f>1835.4</f>
        <v>1835.4</v>
      </c>
      <c r="I411" s="105">
        <v>0</v>
      </c>
      <c r="J411" s="105">
        <v>0</v>
      </c>
      <c r="K411" s="106"/>
      <c r="L411" s="107"/>
    </row>
    <row r="412" spans="1:12" ht="30.95" customHeight="1" thickBot="1" x14ac:dyDescent="0.3">
      <c r="A412" s="29"/>
      <c r="B412" s="202"/>
      <c r="C412" s="111"/>
      <c r="D412" s="124">
        <v>2026</v>
      </c>
      <c r="E412" s="113">
        <f t="shared" si="12"/>
        <v>1835.4</v>
      </c>
      <c r="F412" s="125">
        <v>0</v>
      </c>
      <c r="G412" s="113">
        <v>0</v>
      </c>
      <c r="H412" s="126">
        <f>1835.4</f>
        <v>1835.4</v>
      </c>
      <c r="I412" s="113">
        <v>0</v>
      </c>
      <c r="J412" s="113">
        <v>0</v>
      </c>
      <c r="K412" s="114"/>
      <c r="L412" s="115"/>
    </row>
    <row r="413" spans="1:12" ht="21.95" customHeight="1" x14ac:dyDescent="0.25">
      <c r="A413" s="27" t="s">
        <v>97</v>
      </c>
      <c r="B413" s="200" t="s">
        <v>98</v>
      </c>
      <c r="C413" s="96" t="e">
        <f>#REF!+#REF!+#REF!+#REF!+#REF!+#REF!+#REF!+#REF!</f>
        <v>#REF!</v>
      </c>
      <c r="D413" s="98">
        <v>2018</v>
      </c>
      <c r="E413" s="99">
        <f t="shared" si="12"/>
        <v>20.9</v>
      </c>
      <c r="F413" s="99">
        <v>0</v>
      </c>
      <c r="G413" s="99">
        <v>0</v>
      </c>
      <c r="H413" s="99">
        <v>20.9</v>
      </c>
      <c r="I413" s="99">
        <v>0</v>
      </c>
      <c r="J413" s="99">
        <v>0</v>
      </c>
      <c r="K413" s="100" t="s">
        <v>99</v>
      </c>
      <c r="L413" s="101" t="s">
        <v>31</v>
      </c>
    </row>
    <row r="414" spans="1:12" ht="21.95" customHeight="1" x14ac:dyDescent="0.25">
      <c r="A414" s="28"/>
      <c r="B414" s="201"/>
      <c r="C414" s="102"/>
      <c r="D414" s="104">
        <v>2019</v>
      </c>
      <c r="E414" s="105">
        <f t="shared" si="12"/>
        <v>0</v>
      </c>
      <c r="F414" s="105">
        <v>0</v>
      </c>
      <c r="G414" s="105">
        <v>0</v>
      </c>
      <c r="H414" s="105">
        <v>0</v>
      </c>
      <c r="I414" s="105">
        <v>0</v>
      </c>
      <c r="J414" s="105">
        <v>0</v>
      </c>
      <c r="K414" s="106"/>
      <c r="L414" s="107"/>
    </row>
    <row r="415" spans="1:12" ht="21.95" customHeight="1" x14ac:dyDescent="0.25">
      <c r="A415" s="28"/>
      <c r="B415" s="201"/>
      <c r="C415" s="102"/>
      <c r="D415" s="108">
        <v>2020</v>
      </c>
      <c r="E415" s="105">
        <f t="shared" si="12"/>
        <v>0</v>
      </c>
      <c r="F415" s="122">
        <v>0</v>
      </c>
      <c r="G415" s="105">
        <v>0</v>
      </c>
      <c r="H415" s="105">
        <v>0</v>
      </c>
      <c r="I415" s="105">
        <v>0</v>
      </c>
      <c r="J415" s="105">
        <v>0</v>
      </c>
      <c r="K415" s="106"/>
      <c r="L415" s="107"/>
    </row>
    <row r="416" spans="1:12" ht="21.95" customHeight="1" x14ac:dyDescent="0.25">
      <c r="A416" s="28"/>
      <c r="B416" s="201"/>
      <c r="C416" s="102"/>
      <c r="D416" s="108">
        <v>2021</v>
      </c>
      <c r="E416" s="105">
        <f t="shared" si="12"/>
        <v>0</v>
      </c>
      <c r="F416" s="122">
        <v>0</v>
      </c>
      <c r="G416" s="105">
        <v>0</v>
      </c>
      <c r="H416" s="105">
        <v>0</v>
      </c>
      <c r="I416" s="105">
        <v>0</v>
      </c>
      <c r="J416" s="105">
        <v>0</v>
      </c>
      <c r="K416" s="106"/>
      <c r="L416" s="107"/>
    </row>
    <row r="417" spans="1:12" ht="21.95" customHeight="1" x14ac:dyDescent="0.25">
      <c r="A417" s="28"/>
      <c r="B417" s="201"/>
      <c r="C417" s="102"/>
      <c r="D417" s="108">
        <v>2022</v>
      </c>
      <c r="E417" s="105">
        <f t="shared" si="12"/>
        <v>0</v>
      </c>
      <c r="F417" s="122">
        <v>0</v>
      </c>
      <c r="G417" s="105">
        <v>0</v>
      </c>
      <c r="H417" s="105">
        <v>0</v>
      </c>
      <c r="I417" s="105">
        <v>0</v>
      </c>
      <c r="J417" s="105">
        <v>0</v>
      </c>
      <c r="K417" s="106"/>
      <c r="L417" s="107"/>
    </row>
    <row r="418" spans="1:12" ht="21.95" customHeight="1" x14ac:dyDescent="0.25">
      <c r="A418" s="28"/>
      <c r="B418" s="201"/>
      <c r="C418" s="102"/>
      <c r="D418" s="108">
        <v>2023</v>
      </c>
      <c r="E418" s="105">
        <f t="shared" si="12"/>
        <v>0</v>
      </c>
      <c r="F418" s="122">
        <v>0</v>
      </c>
      <c r="G418" s="105">
        <v>0</v>
      </c>
      <c r="H418" s="105">
        <v>0</v>
      </c>
      <c r="I418" s="105">
        <v>0</v>
      </c>
      <c r="J418" s="105">
        <v>0</v>
      </c>
      <c r="K418" s="106"/>
      <c r="L418" s="107"/>
    </row>
    <row r="419" spans="1:12" ht="21.95" customHeight="1" x14ac:dyDescent="0.25">
      <c r="A419" s="28"/>
      <c r="B419" s="201"/>
      <c r="C419" s="102"/>
      <c r="D419" s="108">
        <v>2024</v>
      </c>
      <c r="E419" s="105">
        <f t="shared" si="12"/>
        <v>0</v>
      </c>
      <c r="F419" s="122">
        <v>0</v>
      </c>
      <c r="G419" s="105">
        <v>0</v>
      </c>
      <c r="H419" s="105">
        <v>0</v>
      </c>
      <c r="I419" s="105">
        <v>0</v>
      </c>
      <c r="J419" s="105">
        <v>0</v>
      </c>
      <c r="K419" s="106"/>
      <c r="L419" s="107"/>
    </row>
    <row r="420" spans="1:12" ht="21.95" customHeight="1" x14ac:dyDescent="0.25">
      <c r="A420" s="28"/>
      <c r="B420" s="201"/>
      <c r="C420" s="102"/>
      <c r="D420" s="108">
        <v>2025</v>
      </c>
      <c r="E420" s="105">
        <f t="shared" si="12"/>
        <v>0</v>
      </c>
      <c r="F420" s="122">
        <v>0</v>
      </c>
      <c r="G420" s="105">
        <v>0</v>
      </c>
      <c r="H420" s="105">
        <v>0</v>
      </c>
      <c r="I420" s="105">
        <v>0</v>
      </c>
      <c r="J420" s="105">
        <v>0</v>
      </c>
      <c r="K420" s="106"/>
      <c r="L420" s="107"/>
    </row>
    <row r="421" spans="1:12" ht="21.95" customHeight="1" thickBot="1" x14ac:dyDescent="0.3">
      <c r="A421" s="30"/>
      <c r="B421" s="202"/>
      <c r="C421" s="111"/>
      <c r="D421" s="124">
        <v>2026</v>
      </c>
      <c r="E421" s="113">
        <f t="shared" si="12"/>
        <v>0</v>
      </c>
      <c r="F421" s="125">
        <v>0</v>
      </c>
      <c r="G421" s="113">
        <v>0</v>
      </c>
      <c r="H421" s="113">
        <v>0</v>
      </c>
      <c r="I421" s="113">
        <v>0</v>
      </c>
      <c r="J421" s="113">
        <v>0</v>
      </c>
      <c r="K421" s="114"/>
      <c r="L421" s="115"/>
    </row>
    <row r="422" spans="1:12" ht="23.1" customHeight="1" x14ac:dyDescent="0.25">
      <c r="A422" s="27" t="s">
        <v>100</v>
      </c>
      <c r="B422" s="204" t="s">
        <v>101</v>
      </c>
      <c r="C422" s="96" t="e">
        <f>#REF!+#REF!+#REF!+#REF!+#REF!+#REF!+#REF!+#REF!</f>
        <v>#REF!</v>
      </c>
      <c r="D422" s="98">
        <v>2018</v>
      </c>
      <c r="E422" s="99">
        <f t="shared" si="12"/>
        <v>2800</v>
      </c>
      <c r="F422" s="99">
        <v>0</v>
      </c>
      <c r="G422" s="99">
        <v>2800</v>
      </c>
      <c r="H422" s="99">
        <v>0</v>
      </c>
      <c r="I422" s="99">
        <v>0</v>
      </c>
      <c r="J422" s="99">
        <v>0</v>
      </c>
      <c r="K422" s="100" t="s">
        <v>293</v>
      </c>
      <c r="L422" s="101" t="s">
        <v>102</v>
      </c>
    </row>
    <row r="423" spans="1:12" ht="23.1" customHeight="1" x14ac:dyDescent="0.25">
      <c r="A423" s="28"/>
      <c r="B423" s="205"/>
      <c r="C423" s="102"/>
      <c r="D423" s="104">
        <v>2019</v>
      </c>
      <c r="E423" s="105">
        <f t="shared" si="12"/>
        <v>2900</v>
      </c>
      <c r="F423" s="105">
        <v>0</v>
      </c>
      <c r="G423" s="105">
        <v>2900</v>
      </c>
      <c r="H423" s="105">
        <v>0</v>
      </c>
      <c r="I423" s="105">
        <v>0</v>
      </c>
      <c r="J423" s="105">
        <v>0</v>
      </c>
      <c r="K423" s="106"/>
      <c r="L423" s="107"/>
    </row>
    <row r="424" spans="1:12" ht="23.1" customHeight="1" x14ac:dyDescent="0.25">
      <c r="A424" s="28"/>
      <c r="B424" s="205"/>
      <c r="C424" s="102"/>
      <c r="D424" s="108">
        <v>2020</v>
      </c>
      <c r="E424" s="105">
        <f t="shared" si="12"/>
        <v>2361.5</v>
      </c>
      <c r="F424" s="122">
        <v>0</v>
      </c>
      <c r="G424" s="105">
        <v>2361.5</v>
      </c>
      <c r="H424" s="105">
        <v>0</v>
      </c>
      <c r="I424" s="105">
        <v>0</v>
      </c>
      <c r="J424" s="105">
        <v>0</v>
      </c>
      <c r="K424" s="106"/>
      <c r="L424" s="107"/>
    </row>
    <row r="425" spans="1:12" ht="23.1" customHeight="1" x14ac:dyDescent="0.25">
      <c r="A425" s="28"/>
      <c r="B425" s="205"/>
      <c r="C425" s="102"/>
      <c r="D425" s="108">
        <v>2021</v>
      </c>
      <c r="E425" s="105">
        <f t="shared" si="12"/>
        <v>919.3</v>
      </c>
      <c r="F425" s="122">
        <v>0</v>
      </c>
      <c r="G425" s="105">
        <v>919.3</v>
      </c>
      <c r="H425" s="105">
        <v>0</v>
      </c>
      <c r="I425" s="105">
        <v>0</v>
      </c>
      <c r="J425" s="105">
        <v>0</v>
      </c>
      <c r="K425" s="106"/>
      <c r="L425" s="107"/>
    </row>
    <row r="426" spans="1:12" ht="23.1" customHeight="1" x14ac:dyDescent="0.25">
      <c r="A426" s="28"/>
      <c r="B426" s="205"/>
      <c r="C426" s="102"/>
      <c r="D426" s="108">
        <v>2022</v>
      </c>
      <c r="E426" s="105">
        <f t="shared" si="12"/>
        <v>990.6</v>
      </c>
      <c r="F426" s="122">
        <v>0</v>
      </c>
      <c r="G426" s="105">
        <f>1190.5-199.9</f>
        <v>990.6</v>
      </c>
      <c r="H426" s="105">
        <v>0</v>
      </c>
      <c r="I426" s="105">
        <v>0</v>
      </c>
      <c r="J426" s="105">
        <v>0</v>
      </c>
      <c r="K426" s="106"/>
      <c r="L426" s="107"/>
    </row>
    <row r="427" spans="1:12" ht="23.1" customHeight="1" x14ac:dyDescent="0.25">
      <c r="A427" s="28"/>
      <c r="B427" s="205"/>
      <c r="C427" s="102"/>
      <c r="D427" s="108">
        <v>2023</v>
      </c>
      <c r="E427" s="105">
        <f t="shared" si="12"/>
        <v>964</v>
      </c>
      <c r="F427" s="122">
        <v>0</v>
      </c>
      <c r="G427" s="105">
        <f>1065.8-101.8</f>
        <v>964</v>
      </c>
      <c r="H427" s="105">
        <v>0</v>
      </c>
      <c r="I427" s="105">
        <v>0</v>
      </c>
      <c r="J427" s="105">
        <v>0</v>
      </c>
      <c r="K427" s="106"/>
      <c r="L427" s="107"/>
    </row>
    <row r="428" spans="1:12" ht="69" customHeight="1" x14ac:dyDescent="0.25">
      <c r="A428" s="28"/>
      <c r="B428" s="206" t="s">
        <v>332</v>
      </c>
      <c r="C428" s="102"/>
      <c r="D428" s="103">
        <v>2024</v>
      </c>
      <c r="E428" s="105">
        <f t="shared" si="12"/>
        <v>6043.7</v>
      </c>
      <c r="F428" s="109">
        <v>0</v>
      </c>
      <c r="G428" s="105">
        <f>1071.8+4971.9</f>
        <v>6043.7</v>
      </c>
      <c r="H428" s="105">
        <v>0</v>
      </c>
      <c r="I428" s="105">
        <v>0</v>
      </c>
      <c r="J428" s="105">
        <v>0</v>
      </c>
      <c r="K428" s="106"/>
      <c r="L428" s="107"/>
    </row>
    <row r="429" spans="1:12" ht="66.75" customHeight="1" x14ac:dyDescent="0.25">
      <c r="A429" s="28"/>
      <c r="B429" s="206"/>
      <c r="C429" s="102"/>
      <c r="D429" s="103">
        <v>2025</v>
      </c>
      <c r="E429" s="105">
        <f t="shared" si="12"/>
        <v>15100.9</v>
      </c>
      <c r="F429" s="109">
        <v>0</v>
      </c>
      <c r="G429" s="105">
        <f>1128.6+13972.3</f>
        <v>15100.9</v>
      </c>
      <c r="H429" s="105">
        <v>0</v>
      </c>
      <c r="I429" s="105">
        <v>0</v>
      </c>
      <c r="J429" s="105">
        <v>0</v>
      </c>
      <c r="K429" s="106"/>
      <c r="L429" s="107"/>
    </row>
    <row r="430" spans="1:12" ht="67.5" customHeight="1" thickBot="1" x14ac:dyDescent="0.3">
      <c r="A430" s="29"/>
      <c r="B430" s="206"/>
      <c r="C430" s="111"/>
      <c r="D430" s="196">
        <v>2026</v>
      </c>
      <c r="E430" s="113">
        <f t="shared" si="12"/>
        <v>15933.1</v>
      </c>
      <c r="F430" s="203">
        <v>0</v>
      </c>
      <c r="G430" s="113">
        <f>1186.7+14746.4</f>
        <v>15933.1</v>
      </c>
      <c r="H430" s="113">
        <v>0</v>
      </c>
      <c r="I430" s="113">
        <v>0</v>
      </c>
      <c r="J430" s="113">
        <v>0</v>
      </c>
      <c r="K430" s="114"/>
      <c r="L430" s="115"/>
    </row>
    <row r="431" spans="1:12" ht="15" customHeight="1" x14ac:dyDescent="0.25">
      <c r="A431" s="27" t="s">
        <v>197</v>
      </c>
      <c r="B431" s="200" t="s">
        <v>103</v>
      </c>
      <c r="C431" s="96" t="e">
        <f>#REF!+#REF!+#REF!+#REF!+#REF!+#REF!+#REF!+#REF!</f>
        <v>#REF!</v>
      </c>
      <c r="D431" s="118">
        <v>2018</v>
      </c>
      <c r="E431" s="119">
        <f t="shared" si="12"/>
        <v>0</v>
      </c>
      <c r="F431" s="119">
        <v>0</v>
      </c>
      <c r="G431" s="119">
        <v>0</v>
      </c>
      <c r="H431" s="119">
        <v>0</v>
      </c>
      <c r="I431" s="119">
        <v>0</v>
      </c>
      <c r="J431" s="119">
        <v>0</v>
      </c>
      <c r="K431" s="100" t="s">
        <v>104</v>
      </c>
      <c r="L431" s="101" t="s">
        <v>102</v>
      </c>
    </row>
    <row r="432" spans="1:12" ht="27" customHeight="1" x14ac:dyDescent="0.25">
      <c r="A432" s="28"/>
      <c r="B432" s="201"/>
      <c r="C432" s="102"/>
      <c r="D432" s="104">
        <v>2019</v>
      </c>
      <c r="E432" s="105">
        <f t="shared" si="12"/>
        <v>0</v>
      </c>
      <c r="F432" s="105">
        <v>0</v>
      </c>
      <c r="G432" s="105">
        <v>0</v>
      </c>
      <c r="H432" s="105">
        <v>0</v>
      </c>
      <c r="I432" s="105">
        <v>0</v>
      </c>
      <c r="J432" s="105">
        <v>0</v>
      </c>
      <c r="K432" s="106"/>
      <c r="L432" s="107"/>
    </row>
    <row r="433" spans="1:12" ht="29.25" customHeight="1" x14ac:dyDescent="0.25">
      <c r="A433" s="28"/>
      <c r="B433" s="201"/>
      <c r="C433" s="102"/>
      <c r="D433" s="108">
        <v>2020</v>
      </c>
      <c r="E433" s="105">
        <f t="shared" si="12"/>
        <v>0</v>
      </c>
      <c r="F433" s="122">
        <v>0</v>
      </c>
      <c r="G433" s="105">
        <v>0</v>
      </c>
      <c r="H433" s="105">
        <v>0</v>
      </c>
      <c r="I433" s="105">
        <v>0</v>
      </c>
      <c r="J433" s="105">
        <v>0</v>
      </c>
      <c r="K433" s="106"/>
      <c r="L433" s="107"/>
    </row>
    <row r="434" spans="1:12" ht="23.25" customHeight="1" x14ac:dyDescent="0.25">
      <c r="A434" s="28"/>
      <c r="B434" s="201"/>
      <c r="C434" s="102"/>
      <c r="D434" s="108">
        <v>2021</v>
      </c>
      <c r="E434" s="105">
        <f t="shared" si="12"/>
        <v>0</v>
      </c>
      <c r="F434" s="122">
        <v>0</v>
      </c>
      <c r="G434" s="105">
        <v>0</v>
      </c>
      <c r="H434" s="105">
        <v>0</v>
      </c>
      <c r="I434" s="105">
        <v>0</v>
      </c>
      <c r="J434" s="105">
        <v>0</v>
      </c>
      <c r="K434" s="106"/>
      <c r="L434" s="107"/>
    </row>
    <row r="435" spans="1:12" ht="29.25" customHeight="1" x14ac:dyDescent="0.25">
      <c r="A435" s="28"/>
      <c r="B435" s="201"/>
      <c r="C435" s="102"/>
      <c r="D435" s="108">
        <v>2022</v>
      </c>
      <c r="E435" s="105">
        <f t="shared" si="12"/>
        <v>0</v>
      </c>
      <c r="F435" s="122">
        <v>0</v>
      </c>
      <c r="G435" s="105">
        <v>0</v>
      </c>
      <c r="H435" s="105">
        <v>0</v>
      </c>
      <c r="I435" s="105">
        <v>0</v>
      </c>
      <c r="J435" s="105">
        <v>0</v>
      </c>
      <c r="K435" s="106"/>
      <c r="L435" s="107"/>
    </row>
    <row r="436" spans="1:12" ht="25.5" customHeight="1" x14ac:dyDescent="0.25">
      <c r="A436" s="28"/>
      <c r="B436" s="201"/>
      <c r="C436" s="102"/>
      <c r="D436" s="108">
        <v>2023</v>
      </c>
      <c r="E436" s="105">
        <f t="shared" si="12"/>
        <v>0</v>
      </c>
      <c r="F436" s="122">
        <v>0</v>
      </c>
      <c r="G436" s="105">
        <v>0</v>
      </c>
      <c r="H436" s="105">
        <v>0</v>
      </c>
      <c r="I436" s="105">
        <v>0</v>
      </c>
      <c r="J436" s="105">
        <v>0</v>
      </c>
      <c r="K436" s="106"/>
      <c r="L436" s="107"/>
    </row>
    <row r="437" spans="1:12" ht="24" customHeight="1" x14ac:dyDescent="0.25">
      <c r="A437" s="28"/>
      <c r="B437" s="201"/>
      <c r="C437" s="102"/>
      <c r="D437" s="108">
        <v>2024</v>
      </c>
      <c r="E437" s="105">
        <f t="shared" si="12"/>
        <v>0</v>
      </c>
      <c r="F437" s="122">
        <v>0</v>
      </c>
      <c r="G437" s="105">
        <v>0</v>
      </c>
      <c r="H437" s="105">
        <v>0</v>
      </c>
      <c r="I437" s="105">
        <v>0</v>
      </c>
      <c r="J437" s="105">
        <v>0</v>
      </c>
      <c r="K437" s="106"/>
      <c r="L437" s="107"/>
    </row>
    <row r="438" spans="1:12" ht="23.25" customHeight="1" x14ac:dyDescent="0.25">
      <c r="A438" s="28"/>
      <c r="B438" s="201"/>
      <c r="C438" s="102"/>
      <c r="D438" s="108">
        <v>2025</v>
      </c>
      <c r="E438" s="105">
        <f t="shared" si="12"/>
        <v>0</v>
      </c>
      <c r="F438" s="122">
        <v>0</v>
      </c>
      <c r="G438" s="105">
        <v>0</v>
      </c>
      <c r="H438" s="105">
        <v>0</v>
      </c>
      <c r="I438" s="105">
        <v>0</v>
      </c>
      <c r="J438" s="105">
        <v>0</v>
      </c>
      <c r="K438" s="106"/>
      <c r="L438" s="107"/>
    </row>
    <row r="439" spans="1:12" ht="24" customHeight="1" thickBot="1" x14ac:dyDescent="0.3">
      <c r="A439" s="29"/>
      <c r="B439" s="202"/>
      <c r="C439" s="111"/>
      <c r="D439" s="124">
        <v>2026</v>
      </c>
      <c r="E439" s="113">
        <f t="shared" si="12"/>
        <v>0</v>
      </c>
      <c r="F439" s="125">
        <v>0</v>
      </c>
      <c r="G439" s="113">
        <v>0</v>
      </c>
      <c r="H439" s="113">
        <v>0</v>
      </c>
      <c r="I439" s="113">
        <v>0</v>
      </c>
      <c r="J439" s="113">
        <v>0</v>
      </c>
      <c r="K439" s="114"/>
      <c r="L439" s="115"/>
    </row>
    <row r="440" spans="1:12" ht="21.95" customHeight="1" x14ac:dyDescent="0.25">
      <c r="A440" s="27" t="s">
        <v>106</v>
      </c>
      <c r="B440" s="200" t="s">
        <v>105</v>
      </c>
      <c r="C440" s="96" t="e">
        <f>#REF!+#REF!+#REF!+#REF!+#REF!+#REF!+#REF!+#REF!</f>
        <v>#REF!</v>
      </c>
      <c r="D440" s="98">
        <v>2018</v>
      </c>
      <c r="E440" s="99">
        <f t="shared" si="12"/>
        <v>2371.6999999999998</v>
      </c>
      <c r="F440" s="99">
        <v>0</v>
      </c>
      <c r="G440" s="99">
        <v>0</v>
      </c>
      <c r="H440" s="99">
        <v>2371.6999999999998</v>
      </c>
      <c r="I440" s="99">
        <v>0</v>
      </c>
      <c r="J440" s="99">
        <v>0</v>
      </c>
      <c r="K440" s="100" t="s">
        <v>107</v>
      </c>
      <c r="L440" s="101" t="s">
        <v>31</v>
      </c>
    </row>
    <row r="441" spans="1:12" ht="21.95" customHeight="1" x14ac:dyDescent="0.25">
      <c r="A441" s="28"/>
      <c r="B441" s="201"/>
      <c r="C441" s="102"/>
      <c r="D441" s="104">
        <v>2019</v>
      </c>
      <c r="E441" s="105">
        <f t="shared" si="12"/>
        <v>2414.4</v>
      </c>
      <c r="F441" s="105">
        <v>0</v>
      </c>
      <c r="G441" s="105">
        <v>0</v>
      </c>
      <c r="H441" s="105">
        <v>2414.4</v>
      </c>
      <c r="I441" s="105">
        <v>0</v>
      </c>
      <c r="J441" s="105">
        <v>0</v>
      </c>
      <c r="K441" s="106"/>
      <c r="L441" s="107"/>
    </row>
    <row r="442" spans="1:12" ht="21.95" customHeight="1" x14ac:dyDescent="0.25">
      <c r="A442" s="28"/>
      <c r="B442" s="201"/>
      <c r="C442" s="102"/>
      <c r="D442" s="108">
        <v>2020</v>
      </c>
      <c r="E442" s="105">
        <f t="shared" si="12"/>
        <v>6070.5</v>
      </c>
      <c r="F442" s="122">
        <v>0</v>
      </c>
      <c r="G442" s="105">
        <v>0</v>
      </c>
      <c r="H442" s="105">
        <v>6070.5</v>
      </c>
      <c r="I442" s="105">
        <v>0</v>
      </c>
      <c r="J442" s="105">
        <v>0</v>
      </c>
      <c r="K442" s="106"/>
      <c r="L442" s="107"/>
    </row>
    <row r="443" spans="1:12" ht="21.95" customHeight="1" x14ac:dyDescent="0.25">
      <c r="A443" s="28"/>
      <c r="B443" s="201"/>
      <c r="C443" s="102"/>
      <c r="D443" s="108">
        <v>2021</v>
      </c>
      <c r="E443" s="105">
        <f t="shared" si="12"/>
        <v>11999.9</v>
      </c>
      <c r="F443" s="122">
        <v>0</v>
      </c>
      <c r="G443" s="105">
        <v>0</v>
      </c>
      <c r="H443" s="105">
        <v>11999.9</v>
      </c>
      <c r="I443" s="105">
        <v>0</v>
      </c>
      <c r="J443" s="105">
        <v>0</v>
      </c>
      <c r="K443" s="106"/>
      <c r="L443" s="107"/>
    </row>
    <row r="444" spans="1:12" ht="21.95" customHeight="1" x14ac:dyDescent="0.25">
      <c r="A444" s="28"/>
      <c r="B444" s="201"/>
      <c r="C444" s="102"/>
      <c r="D444" s="108">
        <v>2022</v>
      </c>
      <c r="E444" s="105">
        <f t="shared" si="12"/>
        <v>29760.799999999999</v>
      </c>
      <c r="F444" s="122">
        <v>0</v>
      </c>
      <c r="G444" s="105">
        <v>0</v>
      </c>
      <c r="H444" s="105">
        <f>27940.6-212.3-67.8-938.6+2971.6-9.1+175+395+95-555.9-79.5-399.4+128.9+114.7-130-67.1+70+0.3-60.4+389.8</f>
        <v>29760.799999999999</v>
      </c>
      <c r="I444" s="105">
        <v>0</v>
      </c>
      <c r="J444" s="105">
        <v>0</v>
      </c>
      <c r="K444" s="106"/>
      <c r="L444" s="107"/>
    </row>
    <row r="445" spans="1:12" ht="21.95" customHeight="1" x14ac:dyDescent="0.25">
      <c r="A445" s="28"/>
      <c r="B445" s="201"/>
      <c r="C445" s="102"/>
      <c r="D445" s="108">
        <v>2023</v>
      </c>
      <c r="E445" s="105">
        <f t="shared" si="12"/>
        <v>19620.100000000002</v>
      </c>
      <c r="F445" s="122">
        <v>0</v>
      </c>
      <c r="G445" s="105">
        <v>0</v>
      </c>
      <c r="H445" s="105">
        <f>2429.4+4519.1-297.2+2096.6+379.3-190+967.1+1306.4+14.2+1249.1-553.6+253.4+178.6+278.2+300+390+358+184.7+1080+515.9+271-58.5+320+780.2+420+2428.2</f>
        <v>19620.100000000002</v>
      </c>
      <c r="I445" s="105">
        <v>0</v>
      </c>
      <c r="J445" s="105">
        <v>0</v>
      </c>
      <c r="K445" s="106"/>
      <c r="L445" s="107"/>
    </row>
    <row r="446" spans="1:12" ht="21.95" customHeight="1" x14ac:dyDescent="0.25">
      <c r="A446" s="28"/>
      <c r="B446" s="201"/>
      <c r="C446" s="102"/>
      <c r="D446" s="108">
        <v>2024</v>
      </c>
      <c r="E446" s="105">
        <f t="shared" si="12"/>
        <v>45182.200000000004</v>
      </c>
      <c r="F446" s="122">
        <v>0</v>
      </c>
      <c r="G446" s="105">
        <v>0</v>
      </c>
      <c r="H446" s="123">
        <f>1742.1+473+342.3+400+55+4787.8+522+739.5+6070.4+295.5+3756.8+10910.4+10910+51-189-4787.8+354.3+4787.8+3961.1</f>
        <v>45182.200000000004</v>
      </c>
      <c r="I446" s="105">
        <v>0</v>
      </c>
      <c r="J446" s="105">
        <v>0</v>
      </c>
      <c r="K446" s="106"/>
      <c r="L446" s="107"/>
    </row>
    <row r="447" spans="1:12" ht="21.95" customHeight="1" x14ac:dyDescent="0.25">
      <c r="A447" s="28"/>
      <c r="B447" s="201"/>
      <c r="C447" s="102"/>
      <c r="D447" s="108">
        <v>2025</v>
      </c>
      <c r="E447" s="105">
        <f t="shared" si="12"/>
        <v>0</v>
      </c>
      <c r="F447" s="122">
        <v>0</v>
      </c>
      <c r="G447" s="105">
        <v>0</v>
      </c>
      <c r="H447" s="123">
        <v>0</v>
      </c>
      <c r="I447" s="105">
        <v>0</v>
      </c>
      <c r="J447" s="105">
        <v>0</v>
      </c>
      <c r="K447" s="106"/>
      <c r="L447" s="107"/>
    </row>
    <row r="448" spans="1:12" ht="21.95" customHeight="1" thickBot="1" x14ac:dyDescent="0.3">
      <c r="A448" s="29"/>
      <c r="B448" s="202"/>
      <c r="C448" s="111"/>
      <c r="D448" s="124">
        <v>2026</v>
      </c>
      <c r="E448" s="113">
        <f t="shared" si="12"/>
        <v>0</v>
      </c>
      <c r="F448" s="125">
        <v>0</v>
      </c>
      <c r="G448" s="113">
        <v>0</v>
      </c>
      <c r="H448" s="123">
        <v>0</v>
      </c>
      <c r="I448" s="113">
        <v>0</v>
      </c>
      <c r="J448" s="113">
        <v>0</v>
      </c>
      <c r="K448" s="114"/>
      <c r="L448" s="115"/>
    </row>
    <row r="449" spans="1:12" ht="21.95" customHeight="1" x14ac:dyDescent="0.25">
      <c r="A449" s="27" t="s">
        <v>108</v>
      </c>
      <c r="B449" s="200" t="s">
        <v>109</v>
      </c>
      <c r="C449" s="96" t="e">
        <f>#REF!+#REF!+#REF!+#REF!+#REF!+#REF!+#REF!+#REF!</f>
        <v>#REF!</v>
      </c>
      <c r="D449" s="98">
        <v>2018</v>
      </c>
      <c r="E449" s="99">
        <f t="shared" si="12"/>
        <v>1812</v>
      </c>
      <c r="F449" s="99">
        <v>0</v>
      </c>
      <c r="G449" s="99">
        <v>0</v>
      </c>
      <c r="H449" s="99">
        <v>1812</v>
      </c>
      <c r="I449" s="99">
        <v>0</v>
      </c>
      <c r="J449" s="99">
        <v>0</v>
      </c>
      <c r="K449" s="100" t="s">
        <v>110</v>
      </c>
      <c r="L449" s="101" t="s">
        <v>31</v>
      </c>
    </row>
    <row r="450" spans="1:12" ht="21.95" customHeight="1" x14ac:dyDescent="0.25">
      <c r="A450" s="28"/>
      <c r="B450" s="201"/>
      <c r="C450" s="102"/>
      <c r="D450" s="104">
        <v>2019</v>
      </c>
      <c r="E450" s="105">
        <f t="shared" si="12"/>
        <v>1997</v>
      </c>
      <c r="F450" s="105">
        <v>0</v>
      </c>
      <c r="G450" s="105">
        <v>0</v>
      </c>
      <c r="H450" s="105">
        <v>1997</v>
      </c>
      <c r="I450" s="105">
        <v>0</v>
      </c>
      <c r="J450" s="105">
        <v>0</v>
      </c>
      <c r="K450" s="106"/>
      <c r="L450" s="107"/>
    </row>
    <row r="451" spans="1:12" ht="21.95" customHeight="1" x14ac:dyDescent="0.25">
      <c r="A451" s="28"/>
      <c r="B451" s="201"/>
      <c r="C451" s="102"/>
      <c r="D451" s="108">
        <v>2020</v>
      </c>
      <c r="E451" s="105">
        <f t="shared" si="12"/>
        <v>65</v>
      </c>
      <c r="F451" s="122">
        <v>0</v>
      </c>
      <c r="G451" s="105">
        <v>0</v>
      </c>
      <c r="H451" s="105">
        <v>65</v>
      </c>
      <c r="I451" s="105">
        <v>0</v>
      </c>
      <c r="J451" s="105">
        <v>0</v>
      </c>
      <c r="K451" s="106"/>
      <c r="L451" s="107"/>
    </row>
    <row r="452" spans="1:12" ht="21.95" customHeight="1" x14ac:dyDescent="0.25">
      <c r="A452" s="28"/>
      <c r="B452" s="201"/>
      <c r="C452" s="102"/>
      <c r="D452" s="108">
        <v>2021</v>
      </c>
      <c r="E452" s="105">
        <f t="shared" si="12"/>
        <v>1064.4000000000001</v>
      </c>
      <c r="F452" s="122">
        <v>0</v>
      </c>
      <c r="G452" s="105">
        <v>0</v>
      </c>
      <c r="H452" s="105">
        <v>1064.4000000000001</v>
      </c>
      <c r="I452" s="105">
        <v>0</v>
      </c>
      <c r="J452" s="105">
        <v>0</v>
      </c>
      <c r="K452" s="106"/>
      <c r="L452" s="107"/>
    </row>
    <row r="453" spans="1:12" ht="21.95" customHeight="1" x14ac:dyDescent="0.25">
      <c r="A453" s="28"/>
      <c r="B453" s="201"/>
      <c r="C453" s="102"/>
      <c r="D453" s="108">
        <v>2022</v>
      </c>
      <c r="E453" s="105">
        <f t="shared" si="12"/>
        <v>0</v>
      </c>
      <c r="F453" s="122">
        <v>0</v>
      </c>
      <c r="G453" s="105">
        <v>0</v>
      </c>
      <c r="H453" s="105">
        <v>0</v>
      </c>
      <c r="I453" s="105">
        <v>0</v>
      </c>
      <c r="J453" s="105">
        <v>0</v>
      </c>
      <c r="K453" s="106"/>
      <c r="L453" s="107"/>
    </row>
    <row r="454" spans="1:12" ht="21.95" customHeight="1" x14ac:dyDescent="0.25">
      <c r="A454" s="28"/>
      <c r="B454" s="201"/>
      <c r="C454" s="102"/>
      <c r="D454" s="108">
        <v>2023</v>
      </c>
      <c r="E454" s="105">
        <f t="shared" si="12"/>
        <v>0</v>
      </c>
      <c r="F454" s="122">
        <v>0</v>
      </c>
      <c r="G454" s="105">
        <v>0</v>
      </c>
      <c r="H454" s="105">
        <v>0</v>
      </c>
      <c r="I454" s="105">
        <v>0</v>
      </c>
      <c r="J454" s="105">
        <v>0</v>
      </c>
      <c r="K454" s="106"/>
      <c r="L454" s="107"/>
    </row>
    <row r="455" spans="1:12" ht="21.95" customHeight="1" x14ac:dyDescent="0.25">
      <c r="A455" s="28"/>
      <c r="B455" s="201"/>
      <c r="C455" s="102"/>
      <c r="D455" s="108">
        <v>2024</v>
      </c>
      <c r="E455" s="105">
        <f t="shared" si="12"/>
        <v>0</v>
      </c>
      <c r="F455" s="122">
        <v>0</v>
      </c>
      <c r="G455" s="105">
        <v>0</v>
      </c>
      <c r="H455" s="105">
        <v>0</v>
      </c>
      <c r="I455" s="105">
        <v>0</v>
      </c>
      <c r="J455" s="105">
        <v>0</v>
      </c>
      <c r="K455" s="106"/>
      <c r="L455" s="107"/>
    </row>
    <row r="456" spans="1:12" ht="21.95" customHeight="1" x14ac:dyDescent="0.25">
      <c r="A456" s="28"/>
      <c r="B456" s="201"/>
      <c r="C456" s="102"/>
      <c r="D456" s="108">
        <v>2025</v>
      </c>
      <c r="E456" s="105">
        <f t="shared" si="12"/>
        <v>0</v>
      </c>
      <c r="F456" s="122">
        <v>0</v>
      </c>
      <c r="G456" s="105">
        <v>0</v>
      </c>
      <c r="H456" s="105">
        <v>0</v>
      </c>
      <c r="I456" s="105">
        <v>0</v>
      </c>
      <c r="J456" s="105">
        <v>0</v>
      </c>
      <c r="K456" s="106"/>
      <c r="L456" s="107"/>
    </row>
    <row r="457" spans="1:12" ht="21.95" customHeight="1" thickBot="1" x14ac:dyDescent="0.3">
      <c r="A457" s="29"/>
      <c r="B457" s="202"/>
      <c r="C457" s="111"/>
      <c r="D457" s="124">
        <v>2026</v>
      </c>
      <c r="E457" s="113">
        <f t="shared" si="12"/>
        <v>0</v>
      </c>
      <c r="F457" s="125">
        <v>0</v>
      </c>
      <c r="G457" s="113">
        <v>0</v>
      </c>
      <c r="H457" s="113">
        <v>0</v>
      </c>
      <c r="I457" s="113">
        <v>0</v>
      </c>
      <c r="J457" s="113">
        <v>0</v>
      </c>
      <c r="K457" s="114"/>
      <c r="L457" s="115"/>
    </row>
    <row r="458" spans="1:12" ht="21.95" customHeight="1" x14ac:dyDescent="0.25">
      <c r="A458" s="27" t="s">
        <v>198</v>
      </c>
      <c r="B458" s="200" t="s">
        <v>111</v>
      </c>
      <c r="C458" s="96" t="e">
        <f>#REF!+#REF!+#REF!+#REF!+#REF!+#REF!+#REF!+#REF!</f>
        <v>#REF!</v>
      </c>
      <c r="D458" s="98">
        <v>2018</v>
      </c>
      <c r="E458" s="99">
        <f t="shared" si="12"/>
        <v>0</v>
      </c>
      <c r="F458" s="99">
        <v>0</v>
      </c>
      <c r="G458" s="99">
        <v>0</v>
      </c>
      <c r="H458" s="99">
        <v>0</v>
      </c>
      <c r="I458" s="99">
        <v>0</v>
      </c>
      <c r="J458" s="99">
        <v>0</v>
      </c>
      <c r="K458" s="100" t="s">
        <v>104</v>
      </c>
      <c r="L458" s="101" t="s">
        <v>31</v>
      </c>
    </row>
    <row r="459" spans="1:12" ht="21.95" customHeight="1" x14ac:dyDescent="0.25">
      <c r="A459" s="28"/>
      <c r="B459" s="201"/>
      <c r="C459" s="102"/>
      <c r="D459" s="104">
        <v>2019</v>
      </c>
      <c r="E459" s="105">
        <f t="shared" si="12"/>
        <v>0</v>
      </c>
      <c r="F459" s="105">
        <v>0</v>
      </c>
      <c r="G459" s="105">
        <v>0</v>
      </c>
      <c r="H459" s="105">
        <v>0</v>
      </c>
      <c r="I459" s="105">
        <v>0</v>
      </c>
      <c r="J459" s="105">
        <v>0</v>
      </c>
      <c r="K459" s="106"/>
      <c r="L459" s="107"/>
    </row>
    <row r="460" spans="1:12" ht="21.95" customHeight="1" x14ac:dyDescent="0.25">
      <c r="A460" s="28"/>
      <c r="B460" s="201"/>
      <c r="C460" s="102"/>
      <c r="D460" s="108">
        <v>2020</v>
      </c>
      <c r="E460" s="105">
        <f t="shared" si="12"/>
        <v>0</v>
      </c>
      <c r="F460" s="122">
        <v>0</v>
      </c>
      <c r="G460" s="105">
        <v>0</v>
      </c>
      <c r="H460" s="105">
        <v>0</v>
      </c>
      <c r="I460" s="105">
        <v>0</v>
      </c>
      <c r="J460" s="105">
        <v>0</v>
      </c>
      <c r="K460" s="106"/>
      <c r="L460" s="107"/>
    </row>
    <row r="461" spans="1:12" ht="21.95" customHeight="1" x14ac:dyDescent="0.25">
      <c r="A461" s="28"/>
      <c r="B461" s="201"/>
      <c r="C461" s="102"/>
      <c r="D461" s="108">
        <v>2021</v>
      </c>
      <c r="E461" s="105">
        <f t="shared" si="12"/>
        <v>0</v>
      </c>
      <c r="F461" s="122">
        <v>0</v>
      </c>
      <c r="G461" s="105">
        <v>0</v>
      </c>
      <c r="H461" s="105">
        <v>0</v>
      </c>
      <c r="I461" s="105">
        <v>0</v>
      </c>
      <c r="J461" s="105">
        <v>0</v>
      </c>
      <c r="K461" s="106"/>
      <c r="L461" s="107"/>
    </row>
    <row r="462" spans="1:12" ht="21.95" customHeight="1" x14ac:dyDescent="0.25">
      <c r="A462" s="28"/>
      <c r="B462" s="201"/>
      <c r="C462" s="102"/>
      <c r="D462" s="108">
        <v>2022</v>
      </c>
      <c r="E462" s="105">
        <f t="shared" si="12"/>
        <v>0</v>
      </c>
      <c r="F462" s="122">
        <v>0</v>
      </c>
      <c r="G462" s="105">
        <v>0</v>
      </c>
      <c r="H462" s="105">
        <v>0</v>
      </c>
      <c r="I462" s="105">
        <v>0</v>
      </c>
      <c r="J462" s="105">
        <v>0</v>
      </c>
      <c r="K462" s="106"/>
      <c r="L462" s="107"/>
    </row>
    <row r="463" spans="1:12" ht="21.95" customHeight="1" x14ac:dyDescent="0.25">
      <c r="A463" s="28"/>
      <c r="B463" s="201"/>
      <c r="C463" s="102"/>
      <c r="D463" s="108">
        <v>2023</v>
      </c>
      <c r="E463" s="105">
        <f t="shared" si="12"/>
        <v>0</v>
      </c>
      <c r="F463" s="122">
        <v>0</v>
      </c>
      <c r="G463" s="105">
        <v>0</v>
      </c>
      <c r="H463" s="105">
        <v>0</v>
      </c>
      <c r="I463" s="105">
        <v>0</v>
      </c>
      <c r="J463" s="105">
        <v>0</v>
      </c>
      <c r="K463" s="106"/>
      <c r="L463" s="107"/>
    </row>
    <row r="464" spans="1:12" ht="21.95" customHeight="1" x14ac:dyDescent="0.25">
      <c r="A464" s="28"/>
      <c r="B464" s="201"/>
      <c r="C464" s="102"/>
      <c r="D464" s="108">
        <v>2024</v>
      </c>
      <c r="E464" s="105">
        <f t="shared" si="12"/>
        <v>0</v>
      </c>
      <c r="F464" s="122">
        <v>0</v>
      </c>
      <c r="G464" s="105">
        <v>0</v>
      </c>
      <c r="H464" s="105">
        <v>0</v>
      </c>
      <c r="I464" s="105">
        <v>0</v>
      </c>
      <c r="J464" s="105">
        <v>0</v>
      </c>
      <c r="K464" s="106"/>
      <c r="L464" s="107"/>
    </row>
    <row r="465" spans="1:12" ht="21.95" customHeight="1" x14ac:dyDescent="0.25">
      <c r="A465" s="28"/>
      <c r="B465" s="201"/>
      <c r="C465" s="102"/>
      <c r="D465" s="108">
        <v>2025</v>
      </c>
      <c r="E465" s="105">
        <f t="shared" si="12"/>
        <v>0</v>
      </c>
      <c r="F465" s="122">
        <v>0</v>
      </c>
      <c r="G465" s="105">
        <v>0</v>
      </c>
      <c r="H465" s="105">
        <v>0</v>
      </c>
      <c r="I465" s="105">
        <v>0</v>
      </c>
      <c r="J465" s="105">
        <v>0</v>
      </c>
      <c r="K465" s="106"/>
      <c r="L465" s="107"/>
    </row>
    <row r="466" spans="1:12" ht="21.95" customHeight="1" thickBot="1" x14ac:dyDescent="0.3">
      <c r="A466" s="29"/>
      <c r="B466" s="202"/>
      <c r="C466" s="111"/>
      <c r="D466" s="124">
        <v>2026</v>
      </c>
      <c r="E466" s="113">
        <f t="shared" si="12"/>
        <v>0</v>
      </c>
      <c r="F466" s="125">
        <v>0</v>
      </c>
      <c r="G466" s="113">
        <v>0</v>
      </c>
      <c r="H466" s="113">
        <v>0</v>
      </c>
      <c r="I466" s="113">
        <v>0</v>
      </c>
      <c r="J466" s="113">
        <v>0</v>
      </c>
      <c r="K466" s="114"/>
      <c r="L466" s="115"/>
    </row>
    <row r="467" spans="1:12" ht="21.95" customHeight="1" x14ac:dyDescent="0.25">
      <c r="A467" s="27" t="s">
        <v>112</v>
      </c>
      <c r="B467" s="200" t="s">
        <v>113</v>
      </c>
      <c r="C467" s="96" t="e">
        <f>#REF!+#REF!+#REF!+#REF!+#REF!+#REF!+#REF!+#REF!</f>
        <v>#REF!</v>
      </c>
      <c r="D467" s="98">
        <v>2018</v>
      </c>
      <c r="E467" s="99">
        <f t="shared" si="12"/>
        <v>4300</v>
      </c>
      <c r="F467" s="99">
        <v>0</v>
      </c>
      <c r="G467" s="99">
        <v>4300</v>
      </c>
      <c r="H467" s="99">
        <v>0</v>
      </c>
      <c r="I467" s="99">
        <v>0</v>
      </c>
      <c r="J467" s="99">
        <v>0</v>
      </c>
      <c r="K467" s="100" t="s">
        <v>114</v>
      </c>
      <c r="L467" s="101" t="s">
        <v>115</v>
      </c>
    </row>
    <row r="468" spans="1:12" ht="21.95" customHeight="1" x14ac:dyDescent="0.25">
      <c r="A468" s="28"/>
      <c r="B468" s="201"/>
      <c r="C468" s="102"/>
      <c r="D468" s="104">
        <v>2019</v>
      </c>
      <c r="E468" s="105">
        <f t="shared" ref="E468:E539" si="13">F468+G468+H468+J468</f>
        <v>4310</v>
      </c>
      <c r="F468" s="105">
        <v>0</v>
      </c>
      <c r="G468" s="105">
        <v>4310</v>
      </c>
      <c r="H468" s="105">
        <v>0</v>
      </c>
      <c r="I468" s="105">
        <v>0</v>
      </c>
      <c r="J468" s="105">
        <v>0</v>
      </c>
      <c r="K468" s="106"/>
      <c r="L468" s="107"/>
    </row>
    <row r="469" spans="1:12" ht="21.95" customHeight="1" x14ac:dyDescent="0.25">
      <c r="A469" s="28"/>
      <c r="B469" s="201"/>
      <c r="C469" s="102"/>
      <c r="D469" s="108">
        <v>2020</v>
      </c>
      <c r="E469" s="105">
        <f t="shared" si="13"/>
        <v>200</v>
      </c>
      <c r="F469" s="122">
        <v>0</v>
      </c>
      <c r="G469" s="105">
        <v>200</v>
      </c>
      <c r="H469" s="105">
        <v>0</v>
      </c>
      <c r="I469" s="105">
        <v>0</v>
      </c>
      <c r="J469" s="105">
        <v>0</v>
      </c>
      <c r="K469" s="106"/>
      <c r="L469" s="107"/>
    </row>
    <row r="470" spans="1:12" ht="21.95" customHeight="1" x14ac:dyDescent="0.25">
      <c r="A470" s="28"/>
      <c r="B470" s="201"/>
      <c r="C470" s="102"/>
      <c r="D470" s="108">
        <v>2021</v>
      </c>
      <c r="E470" s="105">
        <f t="shared" si="13"/>
        <v>10500</v>
      </c>
      <c r="F470" s="122">
        <v>0</v>
      </c>
      <c r="G470" s="105">
        <v>10500</v>
      </c>
      <c r="H470" s="105">
        <v>0</v>
      </c>
      <c r="I470" s="105">
        <v>0</v>
      </c>
      <c r="J470" s="105">
        <v>0</v>
      </c>
      <c r="K470" s="106"/>
      <c r="L470" s="107"/>
    </row>
    <row r="471" spans="1:12" ht="21.95" customHeight="1" x14ac:dyDescent="0.25">
      <c r="A471" s="28"/>
      <c r="B471" s="201"/>
      <c r="C471" s="102"/>
      <c r="D471" s="108">
        <v>2022</v>
      </c>
      <c r="E471" s="105">
        <f t="shared" si="13"/>
        <v>31705.5</v>
      </c>
      <c r="F471" s="122">
        <v>0</v>
      </c>
      <c r="G471" s="105">
        <v>31705.5</v>
      </c>
      <c r="H471" s="105">
        <v>0</v>
      </c>
      <c r="I471" s="105">
        <v>0</v>
      </c>
      <c r="J471" s="105">
        <v>0</v>
      </c>
      <c r="K471" s="106"/>
      <c r="L471" s="107"/>
    </row>
    <row r="472" spans="1:12" ht="21.95" customHeight="1" x14ac:dyDescent="0.25">
      <c r="A472" s="28"/>
      <c r="B472" s="201"/>
      <c r="C472" s="102"/>
      <c r="D472" s="108">
        <v>2023</v>
      </c>
      <c r="E472" s="105">
        <f t="shared" si="13"/>
        <v>8000</v>
      </c>
      <c r="F472" s="122">
        <v>0</v>
      </c>
      <c r="G472" s="105">
        <v>8000</v>
      </c>
      <c r="H472" s="105">
        <v>0</v>
      </c>
      <c r="I472" s="105">
        <v>0</v>
      </c>
      <c r="J472" s="105">
        <v>0</v>
      </c>
      <c r="K472" s="106"/>
      <c r="L472" s="107"/>
    </row>
    <row r="473" spans="1:12" ht="21.95" customHeight="1" x14ac:dyDescent="0.25">
      <c r="A473" s="28"/>
      <c r="B473" s="201"/>
      <c r="C473" s="102"/>
      <c r="D473" s="108">
        <v>2024</v>
      </c>
      <c r="E473" s="105">
        <f t="shared" si="13"/>
        <v>7300</v>
      </c>
      <c r="F473" s="122">
        <v>0</v>
      </c>
      <c r="G473" s="105">
        <f>3500+3800</f>
        <v>7300</v>
      </c>
      <c r="H473" s="105">
        <v>0</v>
      </c>
      <c r="I473" s="105">
        <v>0</v>
      </c>
      <c r="J473" s="105">
        <v>0</v>
      </c>
      <c r="K473" s="106"/>
      <c r="L473" s="107"/>
    </row>
    <row r="474" spans="1:12" ht="21.95" customHeight="1" x14ac:dyDescent="0.25">
      <c r="A474" s="28"/>
      <c r="B474" s="201"/>
      <c r="C474" s="102"/>
      <c r="D474" s="108">
        <v>2025</v>
      </c>
      <c r="E474" s="105">
        <f t="shared" si="13"/>
        <v>0</v>
      </c>
      <c r="F474" s="122">
        <v>0</v>
      </c>
      <c r="G474" s="105">
        <v>0</v>
      </c>
      <c r="H474" s="105">
        <v>0</v>
      </c>
      <c r="I474" s="105">
        <v>0</v>
      </c>
      <c r="J474" s="105">
        <v>0</v>
      </c>
      <c r="K474" s="106"/>
      <c r="L474" s="107"/>
    </row>
    <row r="475" spans="1:12" ht="21.95" customHeight="1" thickBot="1" x14ac:dyDescent="0.3">
      <c r="A475" s="29"/>
      <c r="B475" s="202"/>
      <c r="C475" s="111"/>
      <c r="D475" s="124">
        <v>2026</v>
      </c>
      <c r="E475" s="113">
        <f t="shared" si="13"/>
        <v>0</v>
      </c>
      <c r="F475" s="125">
        <v>0</v>
      </c>
      <c r="G475" s="113">
        <v>0</v>
      </c>
      <c r="H475" s="113">
        <v>0</v>
      </c>
      <c r="I475" s="113">
        <v>0</v>
      </c>
      <c r="J475" s="113">
        <v>0</v>
      </c>
      <c r="K475" s="114"/>
      <c r="L475" s="115"/>
    </row>
    <row r="476" spans="1:12" ht="21.95" customHeight="1" x14ac:dyDescent="0.25">
      <c r="A476" s="27" t="s">
        <v>116</v>
      </c>
      <c r="B476" s="200" t="s">
        <v>117</v>
      </c>
      <c r="C476" s="96" t="e">
        <f>#REF!+#REF!+#REF!+#REF!+#REF!+#REF!+#REF!+#REF!</f>
        <v>#REF!</v>
      </c>
      <c r="D476" s="98">
        <v>2018</v>
      </c>
      <c r="E476" s="99">
        <f t="shared" si="13"/>
        <v>6131.5</v>
      </c>
      <c r="F476" s="99">
        <v>0</v>
      </c>
      <c r="G476" s="99">
        <v>0</v>
      </c>
      <c r="H476" s="99">
        <v>6131.5</v>
      </c>
      <c r="I476" s="99">
        <v>0</v>
      </c>
      <c r="J476" s="99">
        <v>0</v>
      </c>
      <c r="K476" s="100" t="s">
        <v>118</v>
      </c>
      <c r="L476" s="101" t="s">
        <v>31</v>
      </c>
    </row>
    <row r="477" spans="1:12" ht="21.95" customHeight="1" x14ac:dyDescent="0.25">
      <c r="A477" s="28"/>
      <c r="B477" s="201"/>
      <c r="C477" s="102"/>
      <c r="D477" s="104">
        <v>2019</v>
      </c>
      <c r="E477" s="105">
        <f t="shared" si="13"/>
        <v>1236.5</v>
      </c>
      <c r="F477" s="105">
        <v>0</v>
      </c>
      <c r="G477" s="105">
        <v>0</v>
      </c>
      <c r="H477" s="105">
        <v>1236.5</v>
      </c>
      <c r="I477" s="105">
        <v>0</v>
      </c>
      <c r="J477" s="105">
        <v>0</v>
      </c>
      <c r="K477" s="106"/>
      <c r="L477" s="107"/>
    </row>
    <row r="478" spans="1:12" ht="21.95" customHeight="1" x14ac:dyDescent="0.25">
      <c r="A478" s="28"/>
      <c r="B478" s="201"/>
      <c r="C478" s="102"/>
      <c r="D478" s="108">
        <v>2020</v>
      </c>
      <c r="E478" s="105">
        <f t="shared" si="13"/>
        <v>3843.7</v>
      </c>
      <c r="F478" s="122">
        <v>0</v>
      </c>
      <c r="G478" s="105">
        <v>0</v>
      </c>
      <c r="H478" s="105">
        <v>3843.7</v>
      </c>
      <c r="I478" s="105">
        <v>0</v>
      </c>
      <c r="J478" s="105">
        <v>0</v>
      </c>
      <c r="K478" s="106"/>
      <c r="L478" s="107"/>
    </row>
    <row r="479" spans="1:12" ht="21.95" customHeight="1" x14ac:dyDescent="0.25">
      <c r="A479" s="28"/>
      <c r="B479" s="201"/>
      <c r="C479" s="102"/>
      <c r="D479" s="108">
        <v>2021</v>
      </c>
      <c r="E479" s="105">
        <f t="shared" si="13"/>
        <v>19916.3</v>
      </c>
      <c r="F479" s="122">
        <v>0</v>
      </c>
      <c r="G479" s="105">
        <v>0</v>
      </c>
      <c r="H479" s="105">
        <v>19916.3</v>
      </c>
      <c r="I479" s="105">
        <v>0</v>
      </c>
      <c r="J479" s="105">
        <v>0</v>
      </c>
      <c r="K479" s="106"/>
      <c r="L479" s="107"/>
    </row>
    <row r="480" spans="1:12" ht="21.95" customHeight="1" x14ac:dyDescent="0.25">
      <c r="A480" s="28"/>
      <c r="B480" s="201"/>
      <c r="C480" s="102"/>
      <c r="D480" s="108">
        <v>2022</v>
      </c>
      <c r="E480" s="105">
        <f t="shared" si="13"/>
        <v>41671.30000000001</v>
      </c>
      <c r="F480" s="122">
        <v>0</v>
      </c>
      <c r="G480" s="105">
        <v>0</v>
      </c>
      <c r="H480" s="105">
        <f>37419.8+67.8+938.6+382.5+9.1+98.1+341.4+754+1076.4+300+741.4+929.4+458.2+555.9+451.4+79.5-301.5+186.4-2817.1</f>
        <v>41671.30000000001</v>
      </c>
      <c r="I480" s="105">
        <v>0</v>
      </c>
      <c r="J480" s="105">
        <v>0</v>
      </c>
      <c r="K480" s="106"/>
      <c r="L480" s="107"/>
    </row>
    <row r="481" spans="1:12" ht="21.95" customHeight="1" x14ac:dyDescent="0.25">
      <c r="A481" s="28"/>
      <c r="B481" s="201"/>
      <c r="C481" s="102"/>
      <c r="D481" s="108">
        <v>2023</v>
      </c>
      <c r="E481" s="105">
        <f t="shared" si="13"/>
        <v>35816.800000000003</v>
      </c>
      <c r="F481" s="122">
        <v>0</v>
      </c>
      <c r="G481" s="105">
        <v>0</v>
      </c>
      <c r="H481" s="105">
        <f>18731.2-1923.4+4662.5-379.3-1786.1+3828.5+1500+183.8+3000+300+120+450+381.1+60-271+58.5-305+305+6901</f>
        <v>35816.800000000003</v>
      </c>
      <c r="I481" s="105">
        <v>0</v>
      </c>
      <c r="J481" s="105">
        <v>0</v>
      </c>
      <c r="K481" s="106"/>
      <c r="L481" s="107"/>
    </row>
    <row r="482" spans="1:12" ht="21.95" customHeight="1" x14ac:dyDescent="0.25">
      <c r="A482" s="28"/>
      <c r="B482" s="201"/>
      <c r="C482" s="102"/>
      <c r="D482" s="108">
        <v>2024</v>
      </c>
      <c r="E482" s="105">
        <f t="shared" si="13"/>
        <v>46823.700000000004</v>
      </c>
      <c r="F482" s="122">
        <v>0</v>
      </c>
      <c r="G482" s="105">
        <v>0</v>
      </c>
      <c r="H482" s="123">
        <f>17685.2+12538.9+14566.7+285.8+96-354.3-609.6+2249+120+246-395-354.5+443.7+318+395+354.5-443.7-318</f>
        <v>46823.700000000004</v>
      </c>
      <c r="I482" s="105">
        <v>0</v>
      </c>
      <c r="J482" s="105">
        <v>0</v>
      </c>
      <c r="K482" s="106"/>
      <c r="L482" s="107"/>
    </row>
    <row r="483" spans="1:12" ht="21.95" customHeight="1" x14ac:dyDescent="0.25">
      <c r="A483" s="28"/>
      <c r="B483" s="201"/>
      <c r="C483" s="102"/>
      <c r="D483" s="108">
        <v>2025</v>
      </c>
      <c r="E483" s="105">
        <f t="shared" si="13"/>
        <v>0</v>
      </c>
      <c r="F483" s="122">
        <v>0</v>
      </c>
      <c r="G483" s="105">
        <v>0</v>
      </c>
      <c r="H483" s="123">
        <v>0</v>
      </c>
      <c r="I483" s="105">
        <v>0</v>
      </c>
      <c r="J483" s="105">
        <v>0</v>
      </c>
      <c r="K483" s="106"/>
      <c r="L483" s="107"/>
    </row>
    <row r="484" spans="1:12" ht="21.95" customHeight="1" thickBot="1" x14ac:dyDescent="0.3">
      <c r="A484" s="29"/>
      <c r="B484" s="202"/>
      <c r="C484" s="111"/>
      <c r="D484" s="124">
        <v>2026</v>
      </c>
      <c r="E484" s="113">
        <f t="shared" si="13"/>
        <v>0</v>
      </c>
      <c r="F484" s="125">
        <v>0</v>
      </c>
      <c r="G484" s="113">
        <v>0</v>
      </c>
      <c r="H484" s="126">
        <v>0</v>
      </c>
      <c r="I484" s="113">
        <v>0</v>
      </c>
      <c r="J484" s="113">
        <v>0</v>
      </c>
      <c r="K484" s="114"/>
      <c r="L484" s="115"/>
    </row>
    <row r="485" spans="1:12" ht="21.95" customHeight="1" x14ac:dyDescent="0.25">
      <c r="A485" s="27" t="s">
        <v>120</v>
      </c>
      <c r="B485" s="200" t="s">
        <v>119</v>
      </c>
      <c r="C485" s="96" t="e">
        <f>#REF!+#REF!+#REF!+#REF!+#REF!+#REF!+#REF!+#REF!</f>
        <v>#REF!</v>
      </c>
      <c r="D485" s="98">
        <v>2018</v>
      </c>
      <c r="E485" s="99">
        <f t="shared" si="13"/>
        <v>0</v>
      </c>
      <c r="F485" s="99">
        <v>0</v>
      </c>
      <c r="G485" s="99">
        <v>0</v>
      </c>
      <c r="H485" s="99">
        <v>0</v>
      </c>
      <c r="I485" s="99">
        <v>0</v>
      </c>
      <c r="J485" s="99">
        <v>0</v>
      </c>
      <c r="K485" s="100" t="s">
        <v>121</v>
      </c>
      <c r="L485" s="101" t="s">
        <v>31</v>
      </c>
    </row>
    <row r="486" spans="1:12" ht="21.95" customHeight="1" x14ac:dyDescent="0.25">
      <c r="A486" s="28"/>
      <c r="B486" s="201"/>
      <c r="C486" s="102"/>
      <c r="D486" s="104">
        <v>2019</v>
      </c>
      <c r="E486" s="105">
        <f t="shared" si="13"/>
        <v>0</v>
      </c>
      <c r="F486" s="105">
        <v>0</v>
      </c>
      <c r="G486" s="105">
        <v>0</v>
      </c>
      <c r="H486" s="105">
        <v>0</v>
      </c>
      <c r="I486" s="105">
        <v>0</v>
      </c>
      <c r="J486" s="105">
        <v>0</v>
      </c>
      <c r="K486" s="106"/>
      <c r="L486" s="107"/>
    </row>
    <row r="487" spans="1:12" ht="21.95" customHeight="1" x14ac:dyDescent="0.25">
      <c r="A487" s="28"/>
      <c r="B487" s="201"/>
      <c r="C487" s="102"/>
      <c r="D487" s="108">
        <v>2020</v>
      </c>
      <c r="E487" s="105">
        <f t="shared" si="13"/>
        <v>0</v>
      </c>
      <c r="F487" s="122">
        <v>0</v>
      </c>
      <c r="G487" s="105">
        <v>0</v>
      </c>
      <c r="H487" s="105">
        <v>0</v>
      </c>
      <c r="I487" s="105">
        <v>0</v>
      </c>
      <c r="J487" s="105">
        <v>0</v>
      </c>
      <c r="K487" s="106"/>
      <c r="L487" s="107"/>
    </row>
    <row r="488" spans="1:12" ht="21.95" customHeight="1" x14ac:dyDescent="0.25">
      <c r="A488" s="28"/>
      <c r="B488" s="201"/>
      <c r="C488" s="102"/>
      <c r="D488" s="108">
        <v>2021</v>
      </c>
      <c r="E488" s="105">
        <f t="shared" si="13"/>
        <v>900</v>
      </c>
      <c r="F488" s="122">
        <v>0</v>
      </c>
      <c r="G488" s="105">
        <v>0</v>
      </c>
      <c r="H488" s="105">
        <v>900</v>
      </c>
      <c r="I488" s="105">
        <v>0</v>
      </c>
      <c r="J488" s="105">
        <v>0</v>
      </c>
      <c r="K488" s="106"/>
      <c r="L488" s="107"/>
    </row>
    <row r="489" spans="1:12" ht="21.95" customHeight="1" x14ac:dyDescent="0.25">
      <c r="A489" s="28"/>
      <c r="B489" s="201"/>
      <c r="C489" s="102"/>
      <c r="D489" s="108">
        <v>2022</v>
      </c>
      <c r="E489" s="105">
        <f t="shared" si="13"/>
        <v>1016.1</v>
      </c>
      <c r="F489" s="122">
        <v>0</v>
      </c>
      <c r="G489" s="105">
        <v>0</v>
      </c>
      <c r="H489" s="105">
        <v>1016.1</v>
      </c>
      <c r="I489" s="105">
        <v>0</v>
      </c>
      <c r="J489" s="105">
        <v>0</v>
      </c>
      <c r="K489" s="106"/>
      <c r="L489" s="107"/>
    </row>
    <row r="490" spans="1:12" ht="21.95" customHeight="1" x14ac:dyDescent="0.25">
      <c r="A490" s="28"/>
      <c r="B490" s="201"/>
      <c r="C490" s="102"/>
      <c r="D490" s="108">
        <v>2023</v>
      </c>
      <c r="E490" s="105">
        <f t="shared" si="13"/>
        <v>1000</v>
      </c>
      <c r="F490" s="122">
        <v>0</v>
      </c>
      <c r="G490" s="105">
        <v>0</v>
      </c>
      <c r="H490" s="105">
        <v>1000</v>
      </c>
      <c r="I490" s="105">
        <v>0</v>
      </c>
      <c r="J490" s="105">
        <v>0</v>
      </c>
      <c r="K490" s="106"/>
      <c r="L490" s="107"/>
    </row>
    <row r="491" spans="1:12" ht="21.95" customHeight="1" x14ac:dyDescent="0.25">
      <c r="A491" s="28"/>
      <c r="B491" s="201"/>
      <c r="C491" s="102"/>
      <c r="D491" s="108">
        <v>2024</v>
      </c>
      <c r="E491" s="105">
        <f t="shared" si="13"/>
        <v>1000</v>
      </c>
      <c r="F491" s="122">
        <v>0</v>
      </c>
      <c r="G491" s="105">
        <v>0</v>
      </c>
      <c r="H491" s="123">
        <v>1000</v>
      </c>
      <c r="I491" s="105">
        <v>0</v>
      </c>
      <c r="J491" s="105">
        <v>0</v>
      </c>
      <c r="K491" s="106"/>
      <c r="L491" s="107"/>
    </row>
    <row r="492" spans="1:12" ht="21.95" customHeight="1" x14ac:dyDescent="0.25">
      <c r="A492" s="28"/>
      <c r="B492" s="201"/>
      <c r="C492" s="102"/>
      <c r="D492" s="108">
        <v>2025</v>
      </c>
      <c r="E492" s="105">
        <f t="shared" si="13"/>
        <v>1000</v>
      </c>
      <c r="F492" s="122">
        <v>0</v>
      </c>
      <c r="G492" s="105">
        <v>0</v>
      </c>
      <c r="H492" s="123">
        <f>1000</f>
        <v>1000</v>
      </c>
      <c r="I492" s="105">
        <v>0</v>
      </c>
      <c r="J492" s="105">
        <v>0</v>
      </c>
      <c r="K492" s="106"/>
      <c r="L492" s="107"/>
    </row>
    <row r="493" spans="1:12" ht="21.95" customHeight="1" thickBot="1" x14ac:dyDescent="0.3">
      <c r="A493" s="29"/>
      <c r="B493" s="202"/>
      <c r="C493" s="111"/>
      <c r="D493" s="124">
        <v>2026</v>
      </c>
      <c r="E493" s="113">
        <f t="shared" si="13"/>
        <v>0</v>
      </c>
      <c r="F493" s="125">
        <v>0</v>
      </c>
      <c r="G493" s="113">
        <v>0</v>
      </c>
      <c r="H493" s="126">
        <v>0</v>
      </c>
      <c r="I493" s="113">
        <v>0</v>
      </c>
      <c r="J493" s="113">
        <v>0</v>
      </c>
      <c r="K493" s="114"/>
      <c r="L493" s="115"/>
    </row>
    <row r="494" spans="1:12" ht="21.95" customHeight="1" x14ac:dyDescent="0.25">
      <c r="A494" s="27" t="s">
        <v>199</v>
      </c>
      <c r="B494" s="200" t="s">
        <v>122</v>
      </c>
      <c r="C494" s="96" t="e">
        <f>#REF!+#REF!+#REF!+#REF!+#REF!+#REF!+#REF!+#REF!</f>
        <v>#REF!</v>
      </c>
      <c r="D494" s="98">
        <v>2018</v>
      </c>
      <c r="E494" s="99">
        <f t="shared" si="13"/>
        <v>0</v>
      </c>
      <c r="F494" s="99">
        <v>0</v>
      </c>
      <c r="G494" s="99">
        <v>0</v>
      </c>
      <c r="H494" s="99">
        <v>0</v>
      </c>
      <c r="I494" s="99">
        <v>0</v>
      </c>
      <c r="J494" s="99">
        <v>0</v>
      </c>
      <c r="K494" s="100" t="s">
        <v>123</v>
      </c>
      <c r="L494" s="101" t="s">
        <v>31</v>
      </c>
    </row>
    <row r="495" spans="1:12" ht="21.95" customHeight="1" x14ac:dyDescent="0.25">
      <c r="A495" s="28"/>
      <c r="B495" s="201"/>
      <c r="C495" s="102"/>
      <c r="D495" s="104">
        <v>2019</v>
      </c>
      <c r="E495" s="105">
        <f t="shared" si="13"/>
        <v>0</v>
      </c>
      <c r="F495" s="105">
        <v>0</v>
      </c>
      <c r="G495" s="105">
        <v>0</v>
      </c>
      <c r="H495" s="105">
        <v>0</v>
      </c>
      <c r="I495" s="105">
        <v>0</v>
      </c>
      <c r="J495" s="105">
        <v>0</v>
      </c>
      <c r="K495" s="106"/>
      <c r="L495" s="107"/>
    </row>
    <row r="496" spans="1:12" ht="21.95" customHeight="1" x14ac:dyDescent="0.25">
      <c r="A496" s="28"/>
      <c r="B496" s="201"/>
      <c r="C496" s="102"/>
      <c r="D496" s="108">
        <v>2020</v>
      </c>
      <c r="E496" s="105">
        <f t="shared" si="13"/>
        <v>0</v>
      </c>
      <c r="F496" s="122">
        <v>0</v>
      </c>
      <c r="G496" s="105">
        <v>0</v>
      </c>
      <c r="H496" s="105">
        <v>0</v>
      </c>
      <c r="I496" s="105">
        <v>0</v>
      </c>
      <c r="J496" s="105">
        <v>0</v>
      </c>
      <c r="K496" s="106"/>
      <c r="L496" s="107"/>
    </row>
    <row r="497" spans="1:12" ht="21.95" customHeight="1" x14ac:dyDescent="0.25">
      <c r="A497" s="28"/>
      <c r="B497" s="201"/>
      <c r="C497" s="102"/>
      <c r="D497" s="108">
        <v>2021</v>
      </c>
      <c r="E497" s="105">
        <f t="shared" si="13"/>
        <v>0</v>
      </c>
      <c r="F497" s="122">
        <v>0</v>
      </c>
      <c r="G497" s="105">
        <v>0</v>
      </c>
      <c r="H497" s="105">
        <v>0</v>
      </c>
      <c r="I497" s="105">
        <v>0</v>
      </c>
      <c r="J497" s="105">
        <v>0</v>
      </c>
      <c r="K497" s="106"/>
      <c r="L497" s="107"/>
    </row>
    <row r="498" spans="1:12" ht="21.95" customHeight="1" x14ac:dyDescent="0.25">
      <c r="A498" s="28"/>
      <c r="B498" s="201"/>
      <c r="C498" s="102"/>
      <c r="D498" s="108">
        <v>2022</v>
      </c>
      <c r="E498" s="105">
        <f t="shared" si="13"/>
        <v>0</v>
      </c>
      <c r="F498" s="122">
        <v>0</v>
      </c>
      <c r="G498" s="105">
        <v>0</v>
      </c>
      <c r="H498" s="105">
        <v>0</v>
      </c>
      <c r="I498" s="105">
        <v>0</v>
      </c>
      <c r="J498" s="105">
        <v>0</v>
      </c>
      <c r="K498" s="106"/>
      <c r="L498" s="107"/>
    </row>
    <row r="499" spans="1:12" ht="21.95" customHeight="1" x14ac:dyDescent="0.25">
      <c r="A499" s="28"/>
      <c r="B499" s="201"/>
      <c r="C499" s="102"/>
      <c r="D499" s="108">
        <v>2023</v>
      </c>
      <c r="E499" s="105">
        <f t="shared" si="13"/>
        <v>0</v>
      </c>
      <c r="F499" s="122">
        <v>0</v>
      </c>
      <c r="G499" s="105">
        <v>0</v>
      </c>
      <c r="H499" s="105">
        <v>0</v>
      </c>
      <c r="I499" s="105">
        <v>0</v>
      </c>
      <c r="J499" s="105">
        <v>0</v>
      </c>
      <c r="K499" s="106"/>
      <c r="L499" s="107"/>
    </row>
    <row r="500" spans="1:12" ht="21.95" customHeight="1" x14ac:dyDescent="0.25">
      <c r="A500" s="28"/>
      <c r="B500" s="201"/>
      <c r="C500" s="102"/>
      <c r="D500" s="108">
        <v>2024</v>
      </c>
      <c r="E500" s="105">
        <f t="shared" si="13"/>
        <v>0</v>
      </c>
      <c r="F500" s="122">
        <v>0</v>
      </c>
      <c r="G500" s="105">
        <v>0</v>
      </c>
      <c r="H500" s="105">
        <v>0</v>
      </c>
      <c r="I500" s="105">
        <v>0</v>
      </c>
      <c r="J500" s="105">
        <v>0</v>
      </c>
      <c r="K500" s="106"/>
      <c r="L500" s="107"/>
    </row>
    <row r="501" spans="1:12" ht="21.95" customHeight="1" x14ac:dyDescent="0.25">
      <c r="A501" s="28"/>
      <c r="B501" s="201"/>
      <c r="C501" s="102"/>
      <c r="D501" s="108">
        <v>2025</v>
      </c>
      <c r="E501" s="105">
        <f t="shared" si="13"/>
        <v>0</v>
      </c>
      <c r="F501" s="122">
        <v>0</v>
      </c>
      <c r="G501" s="105">
        <v>0</v>
      </c>
      <c r="H501" s="105">
        <v>0</v>
      </c>
      <c r="I501" s="105">
        <v>0</v>
      </c>
      <c r="J501" s="105">
        <v>0</v>
      </c>
      <c r="K501" s="106"/>
      <c r="L501" s="107"/>
    </row>
    <row r="502" spans="1:12" ht="21.95" customHeight="1" thickBot="1" x14ac:dyDescent="0.3">
      <c r="A502" s="29"/>
      <c r="B502" s="202"/>
      <c r="C502" s="111"/>
      <c r="D502" s="124">
        <v>2026</v>
      </c>
      <c r="E502" s="113">
        <f t="shared" si="13"/>
        <v>0</v>
      </c>
      <c r="F502" s="125">
        <v>0</v>
      </c>
      <c r="G502" s="113">
        <v>0</v>
      </c>
      <c r="H502" s="113">
        <v>0</v>
      </c>
      <c r="I502" s="113">
        <v>0</v>
      </c>
      <c r="J502" s="113">
        <v>0</v>
      </c>
      <c r="K502" s="114"/>
      <c r="L502" s="115"/>
    </row>
    <row r="503" spans="1:12" ht="24.95" customHeight="1" x14ac:dyDescent="0.25">
      <c r="A503" s="27" t="s">
        <v>124</v>
      </c>
      <c r="B503" s="200" t="s">
        <v>125</v>
      </c>
      <c r="C503" s="96" t="e">
        <f>#REF!+#REF!+#REF!+#REF!+#REF!+#REF!+#REF!+#REF!</f>
        <v>#REF!</v>
      </c>
      <c r="D503" s="98">
        <v>2018</v>
      </c>
      <c r="E503" s="99">
        <f t="shared" si="13"/>
        <v>30774.899999999998</v>
      </c>
      <c r="F503" s="99">
        <v>0</v>
      </c>
      <c r="G503" s="99">
        <v>29236.1</v>
      </c>
      <c r="H503" s="99">
        <v>1538.8</v>
      </c>
      <c r="I503" s="99">
        <v>1538.8</v>
      </c>
      <c r="J503" s="99">
        <v>0</v>
      </c>
      <c r="K503" s="100" t="s">
        <v>126</v>
      </c>
      <c r="L503" s="101" t="s">
        <v>127</v>
      </c>
    </row>
    <row r="504" spans="1:12" ht="24.95" customHeight="1" x14ac:dyDescent="0.25">
      <c r="A504" s="28"/>
      <c r="B504" s="201"/>
      <c r="C504" s="102"/>
      <c r="D504" s="104">
        <v>2019</v>
      </c>
      <c r="E504" s="105">
        <f t="shared" si="13"/>
        <v>0</v>
      </c>
      <c r="F504" s="105">
        <v>0</v>
      </c>
      <c r="G504" s="105">
        <v>0</v>
      </c>
      <c r="H504" s="105">
        <v>0</v>
      </c>
      <c r="I504" s="105">
        <v>0</v>
      </c>
      <c r="J504" s="105">
        <v>0</v>
      </c>
      <c r="K504" s="106"/>
      <c r="L504" s="107"/>
    </row>
    <row r="505" spans="1:12" ht="24.95" customHeight="1" x14ac:dyDescent="0.25">
      <c r="A505" s="28"/>
      <c r="B505" s="201"/>
      <c r="C505" s="102"/>
      <c r="D505" s="108">
        <v>2020</v>
      </c>
      <c r="E505" s="105">
        <f t="shared" si="13"/>
        <v>0</v>
      </c>
      <c r="F505" s="122">
        <v>0</v>
      </c>
      <c r="G505" s="105">
        <v>0</v>
      </c>
      <c r="H505" s="105">
        <v>0</v>
      </c>
      <c r="I505" s="105">
        <v>0</v>
      </c>
      <c r="J505" s="105">
        <v>0</v>
      </c>
      <c r="K505" s="106"/>
      <c r="L505" s="107"/>
    </row>
    <row r="506" spans="1:12" ht="24.95" customHeight="1" x14ac:dyDescent="0.25">
      <c r="A506" s="28"/>
      <c r="B506" s="201"/>
      <c r="C506" s="102"/>
      <c r="D506" s="108">
        <v>2021</v>
      </c>
      <c r="E506" s="105">
        <f t="shared" si="13"/>
        <v>0</v>
      </c>
      <c r="F506" s="122">
        <v>0</v>
      </c>
      <c r="G506" s="105">
        <v>0</v>
      </c>
      <c r="H506" s="105">
        <v>0</v>
      </c>
      <c r="I506" s="105">
        <v>0</v>
      </c>
      <c r="J506" s="105">
        <v>0</v>
      </c>
      <c r="K506" s="106"/>
      <c r="L506" s="107"/>
    </row>
    <row r="507" spans="1:12" ht="24.95" customHeight="1" x14ac:dyDescent="0.25">
      <c r="A507" s="28"/>
      <c r="B507" s="201"/>
      <c r="C507" s="102"/>
      <c r="D507" s="108">
        <v>2022</v>
      </c>
      <c r="E507" s="105">
        <f t="shared" si="13"/>
        <v>30000</v>
      </c>
      <c r="F507" s="122">
        <v>0</v>
      </c>
      <c r="G507" s="105">
        <v>18000</v>
      </c>
      <c r="H507" s="105">
        <v>12000</v>
      </c>
      <c r="I507" s="105">
        <v>12000</v>
      </c>
      <c r="J507" s="105">
        <v>0</v>
      </c>
      <c r="K507" s="106"/>
      <c r="L507" s="107"/>
    </row>
    <row r="508" spans="1:12" ht="24.95" customHeight="1" x14ac:dyDescent="0.25">
      <c r="A508" s="28"/>
      <c r="B508" s="201"/>
      <c r="C508" s="102"/>
      <c r="D508" s="108">
        <v>2023</v>
      </c>
      <c r="E508" s="105">
        <f t="shared" si="13"/>
        <v>0</v>
      </c>
      <c r="F508" s="122">
        <v>0</v>
      </c>
      <c r="G508" s="105">
        <v>0</v>
      </c>
      <c r="H508" s="105">
        <v>0</v>
      </c>
      <c r="I508" s="105">
        <v>0</v>
      </c>
      <c r="J508" s="105">
        <v>0</v>
      </c>
      <c r="K508" s="106"/>
      <c r="L508" s="107"/>
    </row>
    <row r="509" spans="1:12" ht="24.95" customHeight="1" x14ac:dyDescent="0.25">
      <c r="A509" s="28"/>
      <c r="B509" s="201"/>
      <c r="C509" s="102"/>
      <c r="D509" s="108">
        <v>2024</v>
      </c>
      <c r="E509" s="105">
        <f t="shared" si="13"/>
        <v>0</v>
      </c>
      <c r="F509" s="122">
        <v>0</v>
      </c>
      <c r="G509" s="105">
        <v>0</v>
      </c>
      <c r="H509" s="105">
        <v>0</v>
      </c>
      <c r="I509" s="105">
        <v>0</v>
      </c>
      <c r="J509" s="105">
        <v>0</v>
      </c>
      <c r="K509" s="106"/>
      <c r="L509" s="107"/>
    </row>
    <row r="510" spans="1:12" ht="24.95" customHeight="1" x14ac:dyDescent="0.25">
      <c r="A510" s="28"/>
      <c r="B510" s="201"/>
      <c r="C510" s="102"/>
      <c r="D510" s="108">
        <v>2025</v>
      </c>
      <c r="E510" s="105">
        <f t="shared" si="13"/>
        <v>0</v>
      </c>
      <c r="F510" s="122">
        <v>0</v>
      </c>
      <c r="G510" s="105">
        <v>0</v>
      </c>
      <c r="H510" s="105">
        <v>0</v>
      </c>
      <c r="I510" s="105">
        <v>0</v>
      </c>
      <c r="J510" s="105">
        <v>0</v>
      </c>
      <c r="K510" s="106"/>
      <c r="L510" s="107"/>
    </row>
    <row r="511" spans="1:12" ht="24.95" customHeight="1" thickBot="1" x14ac:dyDescent="0.3">
      <c r="A511" s="29"/>
      <c r="B511" s="202"/>
      <c r="C511" s="111"/>
      <c r="D511" s="124">
        <v>2026</v>
      </c>
      <c r="E511" s="113">
        <f t="shared" si="13"/>
        <v>0</v>
      </c>
      <c r="F511" s="125">
        <v>0</v>
      </c>
      <c r="G511" s="113">
        <v>0</v>
      </c>
      <c r="H511" s="113">
        <v>0</v>
      </c>
      <c r="I511" s="113">
        <v>0</v>
      </c>
      <c r="J511" s="113">
        <v>0</v>
      </c>
      <c r="K511" s="114"/>
      <c r="L511" s="115"/>
    </row>
    <row r="512" spans="1:12" ht="24.75" customHeight="1" x14ac:dyDescent="0.25">
      <c r="A512" s="27" t="s">
        <v>128</v>
      </c>
      <c r="B512" s="200" t="s">
        <v>129</v>
      </c>
      <c r="C512" s="96" t="e">
        <f>#REF!+#REF!+#REF!+#REF!+#REF!+#REF!+#REF!+#REF!</f>
        <v>#REF!</v>
      </c>
      <c r="D512" s="98">
        <v>2018</v>
      </c>
      <c r="E512" s="99">
        <f t="shared" si="13"/>
        <v>0</v>
      </c>
      <c r="F512" s="99">
        <v>0</v>
      </c>
      <c r="G512" s="99">
        <v>0</v>
      </c>
      <c r="H512" s="99">
        <v>0</v>
      </c>
      <c r="I512" s="99">
        <v>0</v>
      </c>
      <c r="J512" s="99">
        <v>0</v>
      </c>
      <c r="K512" s="100" t="s">
        <v>130</v>
      </c>
      <c r="L512" s="101" t="s">
        <v>6</v>
      </c>
    </row>
    <row r="513" spans="1:12" ht="26.25" customHeight="1" x14ac:dyDescent="0.25">
      <c r="A513" s="28"/>
      <c r="B513" s="201"/>
      <c r="C513" s="102"/>
      <c r="D513" s="104">
        <v>2019</v>
      </c>
      <c r="E513" s="105">
        <f t="shared" si="13"/>
        <v>4322</v>
      </c>
      <c r="F513" s="105">
        <v>0</v>
      </c>
      <c r="G513" s="105">
        <v>4105.8999999999996</v>
      </c>
      <c r="H513" s="105">
        <v>216.1</v>
      </c>
      <c r="I513" s="105">
        <v>216.1</v>
      </c>
      <c r="J513" s="105">
        <v>0</v>
      </c>
      <c r="K513" s="106"/>
      <c r="L513" s="107"/>
    </row>
    <row r="514" spans="1:12" ht="30" customHeight="1" x14ac:dyDescent="0.25">
      <c r="A514" s="28"/>
      <c r="B514" s="201"/>
      <c r="C514" s="102"/>
      <c r="D514" s="108">
        <v>2020</v>
      </c>
      <c r="E514" s="105">
        <f t="shared" si="13"/>
        <v>0</v>
      </c>
      <c r="F514" s="122">
        <v>0</v>
      </c>
      <c r="G514" s="105">
        <v>0</v>
      </c>
      <c r="H514" s="105">
        <v>0</v>
      </c>
      <c r="I514" s="105">
        <v>0</v>
      </c>
      <c r="J514" s="105">
        <v>0</v>
      </c>
      <c r="K514" s="106"/>
      <c r="L514" s="107"/>
    </row>
    <row r="515" spans="1:12" ht="27" customHeight="1" x14ac:dyDescent="0.25">
      <c r="A515" s="28"/>
      <c r="B515" s="201"/>
      <c r="C515" s="102"/>
      <c r="D515" s="108">
        <v>2021</v>
      </c>
      <c r="E515" s="105">
        <f t="shared" si="13"/>
        <v>0</v>
      </c>
      <c r="F515" s="122">
        <v>0</v>
      </c>
      <c r="G515" s="105">
        <v>0</v>
      </c>
      <c r="H515" s="105">
        <v>0</v>
      </c>
      <c r="I515" s="105">
        <v>0</v>
      </c>
      <c r="J515" s="105">
        <v>0</v>
      </c>
      <c r="K515" s="106"/>
      <c r="L515" s="107"/>
    </row>
    <row r="516" spans="1:12" ht="26.25" customHeight="1" x14ac:dyDescent="0.25">
      <c r="A516" s="28"/>
      <c r="B516" s="201"/>
      <c r="C516" s="102"/>
      <c r="D516" s="108">
        <v>2022</v>
      </c>
      <c r="E516" s="105">
        <f t="shared" si="13"/>
        <v>0</v>
      </c>
      <c r="F516" s="122">
        <v>0</v>
      </c>
      <c r="G516" s="105">
        <v>0</v>
      </c>
      <c r="H516" s="105">
        <v>0</v>
      </c>
      <c r="I516" s="105">
        <v>0</v>
      </c>
      <c r="J516" s="105">
        <v>0</v>
      </c>
      <c r="K516" s="106"/>
      <c r="L516" s="107"/>
    </row>
    <row r="517" spans="1:12" ht="22.5" customHeight="1" x14ac:dyDescent="0.25">
      <c r="A517" s="28"/>
      <c r="B517" s="201"/>
      <c r="C517" s="102"/>
      <c r="D517" s="108">
        <v>2023</v>
      </c>
      <c r="E517" s="105">
        <f t="shared" si="13"/>
        <v>0</v>
      </c>
      <c r="F517" s="122">
        <v>0</v>
      </c>
      <c r="G517" s="105">
        <v>0</v>
      </c>
      <c r="H517" s="105">
        <v>0</v>
      </c>
      <c r="I517" s="105">
        <v>0</v>
      </c>
      <c r="J517" s="105">
        <v>0</v>
      </c>
      <c r="K517" s="106"/>
      <c r="L517" s="107"/>
    </row>
    <row r="518" spans="1:12" ht="26.25" customHeight="1" x14ac:dyDescent="0.25">
      <c r="A518" s="28"/>
      <c r="B518" s="201"/>
      <c r="C518" s="102"/>
      <c r="D518" s="108">
        <v>2024</v>
      </c>
      <c r="E518" s="105">
        <f t="shared" si="13"/>
        <v>0</v>
      </c>
      <c r="F518" s="122">
        <v>0</v>
      </c>
      <c r="G518" s="105">
        <v>0</v>
      </c>
      <c r="H518" s="105">
        <v>0</v>
      </c>
      <c r="I518" s="105">
        <v>0</v>
      </c>
      <c r="J518" s="105">
        <v>0</v>
      </c>
      <c r="K518" s="106"/>
      <c r="L518" s="107"/>
    </row>
    <row r="519" spans="1:12" ht="24.75" customHeight="1" x14ac:dyDescent="0.25">
      <c r="A519" s="28"/>
      <c r="B519" s="201"/>
      <c r="C519" s="102"/>
      <c r="D519" s="108">
        <v>2025</v>
      </c>
      <c r="E519" s="105">
        <f t="shared" si="13"/>
        <v>0</v>
      </c>
      <c r="F519" s="122">
        <v>0</v>
      </c>
      <c r="G519" s="105">
        <v>0</v>
      </c>
      <c r="H519" s="105">
        <v>0</v>
      </c>
      <c r="I519" s="105">
        <v>0</v>
      </c>
      <c r="J519" s="105">
        <v>0</v>
      </c>
      <c r="K519" s="106"/>
      <c r="L519" s="107"/>
    </row>
    <row r="520" spans="1:12" ht="29.25" customHeight="1" thickBot="1" x14ac:dyDescent="0.3">
      <c r="A520" s="29"/>
      <c r="B520" s="202"/>
      <c r="C520" s="111"/>
      <c r="D520" s="124">
        <v>2026</v>
      </c>
      <c r="E520" s="113">
        <f t="shared" si="13"/>
        <v>0</v>
      </c>
      <c r="F520" s="125">
        <v>0</v>
      </c>
      <c r="G520" s="113">
        <v>0</v>
      </c>
      <c r="H520" s="113">
        <v>0</v>
      </c>
      <c r="I520" s="113">
        <v>0</v>
      </c>
      <c r="J520" s="113">
        <v>0</v>
      </c>
      <c r="K520" s="114"/>
      <c r="L520" s="115"/>
    </row>
    <row r="521" spans="1:12" ht="32.1" customHeight="1" x14ac:dyDescent="0.25">
      <c r="A521" s="27" t="s">
        <v>131</v>
      </c>
      <c r="B521" s="207" t="s">
        <v>176</v>
      </c>
      <c r="C521" s="96" t="e">
        <f>#REF!+#REF!+#REF!+#REF!+#REF!+#REF!+#REF!+#REF!</f>
        <v>#REF!</v>
      </c>
      <c r="D521" s="98">
        <v>2018</v>
      </c>
      <c r="E521" s="99">
        <f t="shared" si="13"/>
        <v>0</v>
      </c>
      <c r="F521" s="99">
        <v>0</v>
      </c>
      <c r="G521" s="99">
        <v>0</v>
      </c>
      <c r="H521" s="99">
        <v>0</v>
      </c>
      <c r="I521" s="99">
        <v>0</v>
      </c>
      <c r="J521" s="99">
        <v>0</v>
      </c>
      <c r="K521" s="100" t="s">
        <v>132</v>
      </c>
      <c r="L521" s="101" t="s">
        <v>127</v>
      </c>
    </row>
    <row r="522" spans="1:12" ht="32.1" customHeight="1" x14ac:dyDescent="0.25">
      <c r="A522" s="28"/>
      <c r="B522" s="206"/>
      <c r="C522" s="102"/>
      <c r="D522" s="104">
        <v>2019</v>
      </c>
      <c r="E522" s="105">
        <f t="shared" si="13"/>
        <v>19638.2</v>
      </c>
      <c r="F522" s="105">
        <v>0</v>
      </c>
      <c r="G522" s="105">
        <v>16951</v>
      </c>
      <c r="H522" s="105">
        <v>2687.2</v>
      </c>
      <c r="I522" s="105">
        <v>1883.5</v>
      </c>
      <c r="J522" s="105">
        <v>0</v>
      </c>
      <c r="K522" s="106"/>
      <c r="L522" s="107"/>
    </row>
    <row r="523" spans="1:12" ht="32.1" customHeight="1" x14ac:dyDescent="0.25">
      <c r="A523" s="28"/>
      <c r="B523" s="206"/>
      <c r="C523" s="102"/>
      <c r="D523" s="108">
        <v>2020</v>
      </c>
      <c r="E523" s="105">
        <f t="shared" si="13"/>
        <v>216.1</v>
      </c>
      <c r="F523" s="122">
        <v>0</v>
      </c>
      <c r="G523" s="105">
        <v>0</v>
      </c>
      <c r="H523" s="105">
        <v>216.1</v>
      </c>
      <c r="I523" s="105">
        <v>0</v>
      </c>
      <c r="J523" s="105">
        <v>0</v>
      </c>
      <c r="K523" s="106"/>
      <c r="L523" s="107"/>
    </row>
    <row r="524" spans="1:12" ht="32.1" customHeight="1" x14ac:dyDescent="0.25">
      <c r="A524" s="28"/>
      <c r="B524" s="206"/>
      <c r="C524" s="102"/>
      <c r="D524" s="108">
        <v>2021</v>
      </c>
      <c r="E524" s="105">
        <f t="shared" si="13"/>
        <v>0</v>
      </c>
      <c r="F524" s="122">
        <v>0</v>
      </c>
      <c r="G524" s="105">
        <v>0</v>
      </c>
      <c r="H524" s="105">
        <v>0</v>
      </c>
      <c r="I524" s="105">
        <v>0</v>
      </c>
      <c r="J524" s="105">
        <v>0</v>
      </c>
      <c r="K524" s="106"/>
      <c r="L524" s="107"/>
    </row>
    <row r="525" spans="1:12" ht="32.1" customHeight="1" x14ac:dyDescent="0.25">
      <c r="A525" s="28"/>
      <c r="B525" s="206"/>
      <c r="C525" s="102"/>
      <c r="D525" s="108">
        <v>2022</v>
      </c>
      <c r="E525" s="105">
        <f t="shared" si="13"/>
        <v>0</v>
      </c>
      <c r="F525" s="122">
        <v>0</v>
      </c>
      <c r="G525" s="105">
        <v>0</v>
      </c>
      <c r="H525" s="105">
        <v>0</v>
      </c>
      <c r="I525" s="105">
        <v>0</v>
      </c>
      <c r="J525" s="105">
        <v>0</v>
      </c>
      <c r="K525" s="106"/>
      <c r="L525" s="107"/>
    </row>
    <row r="526" spans="1:12" ht="32.1" customHeight="1" x14ac:dyDescent="0.25">
      <c r="A526" s="28"/>
      <c r="B526" s="206"/>
      <c r="C526" s="102"/>
      <c r="D526" s="108">
        <v>2023</v>
      </c>
      <c r="E526" s="105">
        <f t="shared" si="13"/>
        <v>0</v>
      </c>
      <c r="F526" s="122">
        <v>0</v>
      </c>
      <c r="G526" s="105">
        <v>0</v>
      </c>
      <c r="H526" s="105">
        <v>0</v>
      </c>
      <c r="I526" s="105">
        <v>0</v>
      </c>
      <c r="J526" s="105">
        <v>0</v>
      </c>
      <c r="K526" s="106"/>
      <c r="L526" s="107"/>
    </row>
    <row r="527" spans="1:12" ht="32.1" customHeight="1" x14ac:dyDescent="0.25">
      <c r="A527" s="28"/>
      <c r="B527" s="206"/>
      <c r="C527" s="102"/>
      <c r="D527" s="108">
        <v>2024</v>
      </c>
      <c r="E527" s="105">
        <f t="shared" si="13"/>
        <v>0</v>
      </c>
      <c r="F527" s="122">
        <v>0</v>
      </c>
      <c r="G527" s="105">
        <v>0</v>
      </c>
      <c r="H527" s="105">
        <v>0</v>
      </c>
      <c r="I527" s="105">
        <v>0</v>
      </c>
      <c r="J527" s="105">
        <v>0</v>
      </c>
      <c r="K527" s="106"/>
      <c r="L527" s="107"/>
    </row>
    <row r="528" spans="1:12" ht="32.1" customHeight="1" x14ac:dyDescent="0.25">
      <c r="A528" s="28"/>
      <c r="B528" s="206"/>
      <c r="C528" s="102"/>
      <c r="D528" s="108">
        <v>2025</v>
      </c>
      <c r="E528" s="105">
        <f t="shared" si="13"/>
        <v>0</v>
      </c>
      <c r="F528" s="122">
        <v>0</v>
      </c>
      <c r="G528" s="105">
        <v>0</v>
      </c>
      <c r="H528" s="105">
        <v>0</v>
      </c>
      <c r="I528" s="105">
        <v>0</v>
      </c>
      <c r="J528" s="105">
        <v>0</v>
      </c>
      <c r="K528" s="106"/>
      <c r="L528" s="107"/>
    </row>
    <row r="529" spans="1:12" ht="32.1" customHeight="1" thickBot="1" x14ac:dyDescent="0.3">
      <c r="A529" s="29"/>
      <c r="B529" s="208"/>
      <c r="C529" s="111"/>
      <c r="D529" s="124">
        <v>2026</v>
      </c>
      <c r="E529" s="113">
        <f t="shared" si="13"/>
        <v>0</v>
      </c>
      <c r="F529" s="125">
        <v>0</v>
      </c>
      <c r="G529" s="113">
        <v>0</v>
      </c>
      <c r="H529" s="113">
        <v>0</v>
      </c>
      <c r="I529" s="113">
        <v>0</v>
      </c>
      <c r="J529" s="113">
        <v>0</v>
      </c>
      <c r="K529" s="114"/>
      <c r="L529" s="115"/>
    </row>
    <row r="530" spans="1:12" ht="45" customHeight="1" x14ac:dyDescent="0.25">
      <c r="A530" s="27" t="s">
        <v>133</v>
      </c>
      <c r="B530" s="209" t="s">
        <v>327</v>
      </c>
      <c r="C530" s="96" t="e">
        <f>#REF!+#REF!+#REF!+#REF!+#REF!+#REF!+#REF!+#REF!</f>
        <v>#REF!</v>
      </c>
      <c r="D530" s="98">
        <v>2018</v>
      </c>
      <c r="E530" s="99">
        <f t="shared" si="13"/>
        <v>0</v>
      </c>
      <c r="F530" s="99">
        <v>0</v>
      </c>
      <c r="G530" s="99">
        <v>0</v>
      </c>
      <c r="H530" s="99">
        <v>0</v>
      </c>
      <c r="I530" s="99">
        <v>0</v>
      </c>
      <c r="J530" s="99">
        <v>0</v>
      </c>
      <c r="K530" s="100" t="s">
        <v>330</v>
      </c>
      <c r="L530" s="101" t="s">
        <v>6</v>
      </c>
    </row>
    <row r="531" spans="1:12" ht="45" customHeight="1" x14ac:dyDescent="0.25">
      <c r="A531" s="28"/>
      <c r="B531" s="210"/>
      <c r="C531" s="102"/>
      <c r="D531" s="104">
        <v>2019</v>
      </c>
      <c r="E531" s="105">
        <f t="shared" si="13"/>
        <v>0</v>
      </c>
      <c r="F531" s="105">
        <v>0</v>
      </c>
      <c r="G531" s="105">
        <v>0</v>
      </c>
      <c r="H531" s="105">
        <v>0</v>
      </c>
      <c r="I531" s="105">
        <v>0</v>
      </c>
      <c r="J531" s="105">
        <v>0</v>
      </c>
      <c r="K531" s="106"/>
      <c r="L531" s="107"/>
    </row>
    <row r="532" spans="1:12" ht="45" customHeight="1" x14ac:dyDescent="0.25">
      <c r="A532" s="28"/>
      <c r="B532" s="210"/>
      <c r="C532" s="102"/>
      <c r="D532" s="103">
        <v>2020</v>
      </c>
      <c r="E532" s="105">
        <f t="shared" si="13"/>
        <v>19536.2</v>
      </c>
      <c r="F532" s="122">
        <v>0</v>
      </c>
      <c r="G532" s="105">
        <v>16347.5</v>
      </c>
      <c r="H532" s="105">
        <v>3188.7</v>
      </c>
      <c r="I532" s="105">
        <v>1877.2</v>
      </c>
      <c r="J532" s="105">
        <v>0</v>
      </c>
      <c r="K532" s="106"/>
      <c r="L532" s="107"/>
    </row>
    <row r="533" spans="1:12" ht="45" customHeight="1" x14ac:dyDescent="0.25">
      <c r="A533" s="28"/>
      <c r="B533" s="210"/>
      <c r="C533" s="102"/>
      <c r="D533" s="103">
        <v>2021</v>
      </c>
      <c r="E533" s="105">
        <f t="shared" si="13"/>
        <v>30612.899999999998</v>
      </c>
      <c r="F533" s="122">
        <v>0</v>
      </c>
      <c r="G533" s="105">
        <v>26865.1</v>
      </c>
      <c r="H533" s="105">
        <v>3747.8</v>
      </c>
      <c r="I533" s="105">
        <v>2986.1</v>
      </c>
      <c r="J533" s="105">
        <v>0</v>
      </c>
      <c r="K533" s="106"/>
      <c r="L533" s="107"/>
    </row>
    <row r="534" spans="1:12" ht="45" customHeight="1" x14ac:dyDescent="0.25">
      <c r="A534" s="28"/>
      <c r="B534" s="210"/>
      <c r="C534" s="102"/>
      <c r="D534" s="103">
        <v>2022</v>
      </c>
      <c r="E534" s="105">
        <f t="shared" si="13"/>
        <v>0</v>
      </c>
      <c r="F534" s="122">
        <v>0</v>
      </c>
      <c r="G534" s="105">
        <v>0</v>
      </c>
      <c r="H534" s="105">
        <v>0</v>
      </c>
      <c r="I534" s="105">
        <v>0</v>
      </c>
      <c r="J534" s="105">
        <v>0</v>
      </c>
      <c r="K534" s="106"/>
      <c r="L534" s="107"/>
    </row>
    <row r="535" spans="1:12" ht="45" customHeight="1" x14ac:dyDescent="0.25">
      <c r="A535" s="28"/>
      <c r="B535" s="211"/>
      <c r="C535" s="102"/>
      <c r="D535" s="103">
        <v>2023</v>
      </c>
      <c r="E535" s="105">
        <f>F535+G535+H535+J535</f>
        <v>2829.5</v>
      </c>
      <c r="F535" s="109">
        <v>0</v>
      </c>
      <c r="G535" s="105">
        <f>2674.4-127.9</f>
        <v>2546.5</v>
      </c>
      <c r="H535" s="105">
        <f>297.2-14.2</f>
        <v>283</v>
      </c>
      <c r="I535" s="105">
        <f>297.2-14.2</f>
        <v>283</v>
      </c>
      <c r="J535" s="105">
        <v>0</v>
      </c>
      <c r="K535" s="106"/>
      <c r="L535" s="107"/>
    </row>
    <row r="536" spans="1:12" ht="60.75" customHeight="1" x14ac:dyDescent="0.25">
      <c r="A536" s="28"/>
      <c r="B536" s="212" t="s">
        <v>328</v>
      </c>
      <c r="C536" s="102"/>
      <c r="D536" s="103">
        <v>2024</v>
      </c>
      <c r="E536" s="105">
        <f>F536+G536+H536+J536</f>
        <v>14170.400000000001</v>
      </c>
      <c r="F536" s="122">
        <v>0</v>
      </c>
      <c r="G536" s="123">
        <f>11526.6+3454.1+2007.2-5461.3</f>
        <v>11526.600000000002</v>
      </c>
      <c r="H536" s="123">
        <f>2034.2+609.6</f>
        <v>2643.8</v>
      </c>
      <c r="I536" s="123">
        <f>2034.2+609.6+354.3-354.3</f>
        <v>2643.8</v>
      </c>
      <c r="J536" s="105">
        <v>0</v>
      </c>
      <c r="K536" s="106"/>
      <c r="L536" s="107"/>
    </row>
    <row r="537" spans="1:12" ht="71.25" customHeight="1" x14ac:dyDescent="0.25">
      <c r="A537" s="28"/>
      <c r="B537" s="210"/>
      <c r="C537" s="102"/>
      <c r="D537" s="103">
        <v>2025</v>
      </c>
      <c r="E537" s="105">
        <f t="shared" si="13"/>
        <v>0</v>
      </c>
      <c r="F537" s="122">
        <v>0</v>
      </c>
      <c r="G537" s="123">
        <v>0</v>
      </c>
      <c r="H537" s="123">
        <v>0</v>
      </c>
      <c r="I537" s="123">
        <v>0</v>
      </c>
      <c r="J537" s="105">
        <v>0</v>
      </c>
      <c r="K537" s="106"/>
      <c r="L537" s="107"/>
    </row>
    <row r="538" spans="1:12" ht="62.25" customHeight="1" thickBot="1" x14ac:dyDescent="0.3">
      <c r="A538" s="29"/>
      <c r="B538" s="213"/>
      <c r="C538" s="111"/>
      <c r="D538" s="196">
        <v>2026</v>
      </c>
      <c r="E538" s="113">
        <f t="shared" si="13"/>
        <v>0</v>
      </c>
      <c r="F538" s="203">
        <v>0</v>
      </c>
      <c r="G538" s="126">
        <v>0</v>
      </c>
      <c r="H538" s="126">
        <v>0</v>
      </c>
      <c r="I538" s="126">
        <v>0</v>
      </c>
      <c r="J538" s="113">
        <v>0</v>
      </c>
      <c r="K538" s="114"/>
      <c r="L538" s="115"/>
    </row>
    <row r="539" spans="1:12" ht="30" customHeight="1" x14ac:dyDescent="0.25">
      <c r="A539" s="27" t="s">
        <v>134</v>
      </c>
      <c r="B539" s="207" t="s">
        <v>177</v>
      </c>
      <c r="C539" s="96" t="e">
        <f>#REF!+#REF!+#REF!+#REF!+#REF!+#REF!+#REF!+#REF!</f>
        <v>#REF!</v>
      </c>
      <c r="D539" s="98">
        <v>2018</v>
      </c>
      <c r="E539" s="99">
        <f t="shared" si="13"/>
        <v>0</v>
      </c>
      <c r="F539" s="99">
        <v>0</v>
      </c>
      <c r="G539" s="99">
        <v>0</v>
      </c>
      <c r="H539" s="99">
        <v>0</v>
      </c>
      <c r="I539" s="99">
        <v>0</v>
      </c>
      <c r="J539" s="99">
        <v>0</v>
      </c>
      <c r="K539" s="100" t="s">
        <v>135</v>
      </c>
      <c r="L539" s="101" t="s">
        <v>6</v>
      </c>
    </row>
    <row r="540" spans="1:12" ht="30" customHeight="1" x14ac:dyDescent="0.25">
      <c r="A540" s="28"/>
      <c r="B540" s="206"/>
      <c r="C540" s="102"/>
      <c r="D540" s="104">
        <v>2019</v>
      </c>
      <c r="E540" s="105">
        <f t="shared" ref="E540:E611" si="14">F540+G540+H540+J540</f>
        <v>3371</v>
      </c>
      <c r="F540" s="105">
        <v>0</v>
      </c>
      <c r="G540" s="105">
        <v>3202.4</v>
      </c>
      <c r="H540" s="105">
        <v>168.6</v>
      </c>
      <c r="I540" s="105">
        <v>168.6</v>
      </c>
      <c r="J540" s="105">
        <v>0</v>
      </c>
      <c r="K540" s="106"/>
      <c r="L540" s="107"/>
    </row>
    <row r="541" spans="1:12" ht="30" customHeight="1" x14ac:dyDescent="0.25">
      <c r="A541" s="28"/>
      <c r="B541" s="206"/>
      <c r="C541" s="102"/>
      <c r="D541" s="108">
        <v>2020</v>
      </c>
      <c r="E541" s="105">
        <f t="shared" si="14"/>
        <v>0</v>
      </c>
      <c r="F541" s="122">
        <v>0</v>
      </c>
      <c r="G541" s="105">
        <v>0</v>
      </c>
      <c r="H541" s="105">
        <v>0</v>
      </c>
      <c r="I541" s="105">
        <v>0</v>
      </c>
      <c r="J541" s="105">
        <v>0</v>
      </c>
      <c r="K541" s="106"/>
      <c r="L541" s="107"/>
    </row>
    <row r="542" spans="1:12" ht="30" customHeight="1" x14ac:dyDescent="0.25">
      <c r="A542" s="28"/>
      <c r="B542" s="206"/>
      <c r="C542" s="102"/>
      <c r="D542" s="108">
        <v>2021</v>
      </c>
      <c r="E542" s="105">
        <f t="shared" si="14"/>
        <v>0</v>
      </c>
      <c r="F542" s="122">
        <v>0</v>
      </c>
      <c r="G542" s="105">
        <v>0</v>
      </c>
      <c r="H542" s="105">
        <v>0</v>
      </c>
      <c r="I542" s="105">
        <v>0</v>
      </c>
      <c r="J542" s="105">
        <v>0</v>
      </c>
      <c r="K542" s="106"/>
      <c r="L542" s="107"/>
    </row>
    <row r="543" spans="1:12" ht="30" customHeight="1" x14ac:dyDescent="0.25">
      <c r="A543" s="28"/>
      <c r="B543" s="206"/>
      <c r="C543" s="102"/>
      <c r="D543" s="108">
        <v>2022</v>
      </c>
      <c r="E543" s="105">
        <f t="shared" si="14"/>
        <v>0</v>
      </c>
      <c r="F543" s="122">
        <v>0</v>
      </c>
      <c r="G543" s="105">
        <v>0</v>
      </c>
      <c r="H543" s="105">
        <v>0</v>
      </c>
      <c r="I543" s="105">
        <v>0</v>
      </c>
      <c r="J543" s="105">
        <v>0</v>
      </c>
      <c r="K543" s="106"/>
      <c r="L543" s="107"/>
    </row>
    <row r="544" spans="1:12" ht="30" customHeight="1" x14ac:dyDescent="0.25">
      <c r="A544" s="28"/>
      <c r="B544" s="206"/>
      <c r="C544" s="102"/>
      <c r="D544" s="108">
        <v>2023</v>
      </c>
      <c r="E544" s="105">
        <f t="shared" si="14"/>
        <v>0</v>
      </c>
      <c r="F544" s="109">
        <v>0</v>
      </c>
      <c r="G544" s="105">
        <v>0</v>
      </c>
      <c r="H544" s="105">
        <v>0</v>
      </c>
      <c r="I544" s="105">
        <v>0</v>
      </c>
      <c r="J544" s="105">
        <v>0</v>
      </c>
      <c r="K544" s="106"/>
      <c r="L544" s="107"/>
    </row>
    <row r="545" spans="1:12" ht="30" customHeight="1" x14ac:dyDescent="0.25">
      <c r="A545" s="28"/>
      <c r="B545" s="206"/>
      <c r="C545" s="102"/>
      <c r="D545" s="108">
        <v>2024</v>
      </c>
      <c r="E545" s="105">
        <f t="shared" si="14"/>
        <v>0</v>
      </c>
      <c r="F545" s="109">
        <v>0</v>
      </c>
      <c r="G545" s="105">
        <v>0</v>
      </c>
      <c r="H545" s="105">
        <v>0</v>
      </c>
      <c r="I545" s="105">
        <v>0</v>
      </c>
      <c r="J545" s="105">
        <v>0</v>
      </c>
      <c r="K545" s="106"/>
      <c r="L545" s="107"/>
    </row>
    <row r="546" spans="1:12" ht="30" customHeight="1" x14ac:dyDescent="0.25">
      <c r="A546" s="28"/>
      <c r="B546" s="206"/>
      <c r="C546" s="102"/>
      <c r="D546" s="108">
        <v>2025</v>
      </c>
      <c r="E546" s="105">
        <f t="shared" si="14"/>
        <v>0</v>
      </c>
      <c r="F546" s="109">
        <v>0</v>
      </c>
      <c r="G546" s="105">
        <v>0</v>
      </c>
      <c r="H546" s="105">
        <v>0</v>
      </c>
      <c r="I546" s="105">
        <v>0</v>
      </c>
      <c r="J546" s="105">
        <v>0</v>
      </c>
      <c r="K546" s="106"/>
      <c r="L546" s="107"/>
    </row>
    <row r="547" spans="1:12" ht="30" customHeight="1" thickBot="1" x14ac:dyDescent="0.3">
      <c r="A547" s="29"/>
      <c r="B547" s="208"/>
      <c r="C547" s="111"/>
      <c r="D547" s="124">
        <v>2026</v>
      </c>
      <c r="E547" s="113">
        <f t="shared" si="14"/>
        <v>0</v>
      </c>
      <c r="F547" s="203">
        <v>0</v>
      </c>
      <c r="G547" s="113">
        <v>0</v>
      </c>
      <c r="H547" s="113">
        <v>0</v>
      </c>
      <c r="I547" s="113">
        <v>0</v>
      </c>
      <c r="J547" s="113">
        <v>0</v>
      </c>
      <c r="K547" s="114"/>
      <c r="L547" s="115"/>
    </row>
    <row r="548" spans="1:12" ht="21.6" customHeight="1" x14ac:dyDescent="0.25">
      <c r="A548" s="27" t="s">
        <v>136</v>
      </c>
      <c r="B548" s="207" t="s">
        <v>175</v>
      </c>
      <c r="C548" s="96" t="e">
        <f>#REF!+#REF!+#REF!+#REF!+#REF!+#REF!+#REF!+#REF!</f>
        <v>#REF!</v>
      </c>
      <c r="D548" s="98">
        <v>2018</v>
      </c>
      <c r="E548" s="99">
        <f t="shared" si="14"/>
        <v>0</v>
      </c>
      <c r="F548" s="99">
        <v>0</v>
      </c>
      <c r="G548" s="99">
        <v>0</v>
      </c>
      <c r="H548" s="99">
        <v>0</v>
      </c>
      <c r="I548" s="99">
        <v>0</v>
      </c>
      <c r="J548" s="99">
        <v>0</v>
      </c>
      <c r="K548" s="100" t="s">
        <v>137</v>
      </c>
      <c r="L548" s="101" t="s">
        <v>6</v>
      </c>
    </row>
    <row r="549" spans="1:12" ht="21.6" customHeight="1" x14ac:dyDescent="0.25">
      <c r="A549" s="28"/>
      <c r="B549" s="206"/>
      <c r="C549" s="102"/>
      <c r="D549" s="104">
        <v>2019</v>
      </c>
      <c r="E549" s="105">
        <f t="shared" si="14"/>
        <v>0</v>
      </c>
      <c r="F549" s="105">
        <v>0</v>
      </c>
      <c r="G549" s="105">
        <v>0</v>
      </c>
      <c r="H549" s="105">
        <v>0</v>
      </c>
      <c r="I549" s="105">
        <v>0</v>
      </c>
      <c r="J549" s="105">
        <v>0</v>
      </c>
      <c r="K549" s="106"/>
      <c r="L549" s="107"/>
    </row>
    <row r="550" spans="1:12" ht="21.6" customHeight="1" x14ac:dyDescent="0.25">
      <c r="A550" s="28"/>
      <c r="B550" s="206"/>
      <c r="C550" s="102"/>
      <c r="D550" s="108">
        <v>2020</v>
      </c>
      <c r="E550" s="105">
        <f t="shared" si="14"/>
        <v>1175.8999999999999</v>
      </c>
      <c r="F550" s="122">
        <v>0</v>
      </c>
      <c r="G550" s="105">
        <v>1117.0999999999999</v>
      </c>
      <c r="H550" s="105">
        <v>58.8</v>
      </c>
      <c r="I550" s="105">
        <v>58.8</v>
      </c>
      <c r="J550" s="105">
        <v>0</v>
      </c>
      <c r="K550" s="106"/>
      <c r="L550" s="107"/>
    </row>
    <row r="551" spans="1:12" ht="21.6" customHeight="1" x14ac:dyDescent="0.25">
      <c r="A551" s="28"/>
      <c r="B551" s="206"/>
      <c r="C551" s="102"/>
      <c r="D551" s="108">
        <v>2021</v>
      </c>
      <c r="E551" s="105">
        <f t="shared" si="14"/>
        <v>0</v>
      </c>
      <c r="F551" s="122">
        <v>0</v>
      </c>
      <c r="G551" s="105">
        <v>0</v>
      </c>
      <c r="H551" s="105">
        <v>0</v>
      </c>
      <c r="I551" s="105">
        <v>0</v>
      </c>
      <c r="J551" s="105">
        <v>0</v>
      </c>
      <c r="K551" s="106"/>
      <c r="L551" s="107"/>
    </row>
    <row r="552" spans="1:12" ht="41.25" customHeight="1" x14ac:dyDescent="0.25">
      <c r="A552" s="28"/>
      <c r="B552" s="206"/>
      <c r="C552" s="102"/>
      <c r="D552" s="108">
        <v>2022</v>
      </c>
      <c r="E552" s="105">
        <f t="shared" si="14"/>
        <v>0</v>
      </c>
      <c r="F552" s="122">
        <v>0</v>
      </c>
      <c r="G552" s="105">
        <v>0</v>
      </c>
      <c r="H552" s="105">
        <v>0</v>
      </c>
      <c r="I552" s="105">
        <v>0</v>
      </c>
      <c r="J552" s="105">
        <v>0</v>
      </c>
      <c r="K552" s="106"/>
      <c r="L552" s="107"/>
    </row>
    <row r="553" spans="1:12" ht="39.75" customHeight="1" x14ac:dyDescent="0.25">
      <c r="A553" s="28"/>
      <c r="B553" s="206"/>
      <c r="C553" s="102"/>
      <c r="D553" s="108">
        <v>2023</v>
      </c>
      <c r="E553" s="105">
        <f t="shared" si="14"/>
        <v>0</v>
      </c>
      <c r="F553" s="122">
        <v>0</v>
      </c>
      <c r="G553" s="105">
        <v>0</v>
      </c>
      <c r="H553" s="105">
        <v>0</v>
      </c>
      <c r="I553" s="105">
        <v>0</v>
      </c>
      <c r="J553" s="105">
        <v>0</v>
      </c>
      <c r="K553" s="106"/>
      <c r="L553" s="107"/>
    </row>
    <row r="554" spans="1:12" ht="29.25" customHeight="1" x14ac:dyDescent="0.25">
      <c r="A554" s="28"/>
      <c r="B554" s="206"/>
      <c r="C554" s="102"/>
      <c r="D554" s="108">
        <v>2024</v>
      </c>
      <c r="E554" s="105">
        <f t="shared" si="14"/>
        <v>0</v>
      </c>
      <c r="F554" s="122">
        <v>0</v>
      </c>
      <c r="G554" s="105">
        <v>0</v>
      </c>
      <c r="H554" s="105">
        <v>0</v>
      </c>
      <c r="I554" s="105">
        <v>0</v>
      </c>
      <c r="J554" s="105">
        <v>0</v>
      </c>
      <c r="K554" s="106"/>
      <c r="L554" s="107"/>
    </row>
    <row r="555" spans="1:12" ht="39.75" customHeight="1" x14ac:dyDescent="0.25">
      <c r="A555" s="28"/>
      <c r="B555" s="206"/>
      <c r="C555" s="102"/>
      <c r="D555" s="108">
        <v>2025</v>
      </c>
      <c r="E555" s="105">
        <f t="shared" si="14"/>
        <v>0</v>
      </c>
      <c r="F555" s="122">
        <v>0</v>
      </c>
      <c r="G555" s="105">
        <v>0</v>
      </c>
      <c r="H555" s="105">
        <v>0</v>
      </c>
      <c r="I555" s="105">
        <v>0</v>
      </c>
      <c r="J555" s="105">
        <v>0</v>
      </c>
      <c r="K555" s="106"/>
      <c r="L555" s="107"/>
    </row>
    <row r="556" spans="1:12" ht="33" customHeight="1" thickBot="1" x14ac:dyDescent="0.3">
      <c r="A556" s="29"/>
      <c r="B556" s="208"/>
      <c r="C556" s="111"/>
      <c r="D556" s="124">
        <v>2026</v>
      </c>
      <c r="E556" s="113">
        <f t="shared" si="14"/>
        <v>0</v>
      </c>
      <c r="F556" s="125">
        <v>0</v>
      </c>
      <c r="G556" s="113">
        <v>0</v>
      </c>
      <c r="H556" s="113">
        <v>0</v>
      </c>
      <c r="I556" s="113">
        <v>0</v>
      </c>
      <c r="J556" s="113">
        <v>0</v>
      </c>
      <c r="K556" s="114"/>
      <c r="L556" s="115"/>
    </row>
    <row r="557" spans="1:12" ht="21.95" customHeight="1" x14ac:dyDescent="0.25">
      <c r="A557" s="27" t="s">
        <v>138</v>
      </c>
      <c r="B557" s="200" t="s">
        <v>139</v>
      </c>
      <c r="C557" s="96" t="e">
        <f>#REF!+#REF!+#REF!+#REF!+#REF!+#REF!+#REF!+#REF!</f>
        <v>#REF!</v>
      </c>
      <c r="D557" s="98">
        <v>2018</v>
      </c>
      <c r="E557" s="99">
        <f t="shared" si="14"/>
        <v>0</v>
      </c>
      <c r="F557" s="99">
        <v>0</v>
      </c>
      <c r="G557" s="99">
        <v>0</v>
      </c>
      <c r="H557" s="99">
        <v>0</v>
      </c>
      <c r="I557" s="99">
        <v>0</v>
      </c>
      <c r="J557" s="99">
        <v>0</v>
      </c>
      <c r="K557" s="100" t="s">
        <v>140</v>
      </c>
      <c r="L557" s="101" t="s">
        <v>31</v>
      </c>
    </row>
    <row r="558" spans="1:12" ht="21.95" customHeight="1" x14ac:dyDescent="0.25">
      <c r="A558" s="28"/>
      <c r="B558" s="201"/>
      <c r="C558" s="102"/>
      <c r="D558" s="104">
        <v>2019</v>
      </c>
      <c r="E558" s="105">
        <f t="shared" si="14"/>
        <v>216.8</v>
      </c>
      <c r="F558" s="105">
        <v>0</v>
      </c>
      <c r="G558" s="105">
        <v>0</v>
      </c>
      <c r="H558" s="105">
        <v>216.8</v>
      </c>
      <c r="I558" s="105">
        <v>0</v>
      </c>
      <c r="J558" s="105">
        <v>0</v>
      </c>
      <c r="K558" s="106"/>
      <c r="L558" s="107"/>
    </row>
    <row r="559" spans="1:12" ht="21.95" customHeight="1" x14ac:dyDescent="0.25">
      <c r="A559" s="28"/>
      <c r="B559" s="201"/>
      <c r="C559" s="102"/>
      <c r="D559" s="108">
        <v>2020</v>
      </c>
      <c r="E559" s="105">
        <f t="shared" si="14"/>
        <v>0</v>
      </c>
      <c r="F559" s="122">
        <v>0</v>
      </c>
      <c r="G559" s="105">
        <v>0</v>
      </c>
      <c r="H559" s="105">
        <v>0</v>
      </c>
      <c r="I559" s="105">
        <v>0</v>
      </c>
      <c r="J559" s="105">
        <v>0</v>
      </c>
      <c r="K559" s="106"/>
      <c r="L559" s="107"/>
    </row>
    <row r="560" spans="1:12" ht="21.95" customHeight="1" x14ac:dyDescent="0.25">
      <c r="A560" s="28"/>
      <c r="B560" s="201"/>
      <c r="C560" s="102"/>
      <c r="D560" s="108">
        <v>2021</v>
      </c>
      <c r="E560" s="105">
        <f t="shared" si="14"/>
        <v>0</v>
      </c>
      <c r="F560" s="122">
        <v>0</v>
      </c>
      <c r="G560" s="105">
        <v>0</v>
      </c>
      <c r="H560" s="105">
        <v>0</v>
      </c>
      <c r="I560" s="105">
        <v>0</v>
      </c>
      <c r="J560" s="105">
        <v>0</v>
      </c>
      <c r="K560" s="106"/>
      <c r="L560" s="107"/>
    </row>
    <row r="561" spans="1:12" ht="21.95" customHeight="1" x14ac:dyDescent="0.25">
      <c r="A561" s="28"/>
      <c r="B561" s="201"/>
      <c r="C561" s="102"/>
      <c r="D561" s="108">
        <v>2022</v>
      </c>
      <c r="E561" s="105">
        <f t="shared" si="14"/>
        <v>0</v>
      </c>
      <c r="F561" s="122">
        <v>0</v>
      </c>
      <c r="G561" s="105">
        <v>0</v>
      </c>
      <c r="H561" s="105">
        <v>0</v>
      </c>
      <c r="I561" s="105">
        <v>0</v>
      </c>
      <c r="J561" s="105">
        <v>0</v>
      </c>
      <c r="K561" s="106"/>
      <c r="L561" s="107"/>
    </row>
    <row r="562" spans="1:12" ht="21.95" customHeight="1" x14ac:dyDescent="0.25">
      <c r="A562" s="28"/>
      <c r="B562" s="201"/>
      <c r="C562" s="102"/>
      <c r="D562" s="108">
        <v>2023</v>
      </c>
      <c r="E562" s="105">
        <f t="shared" si="14"/>
        <v>0</v>
      </c>
      <c r="F562" s="122">
        <v>0</v>
      </c>
      <c r="G562" s="105">
        <v>0</v>
      </c>
      <c r="H562" s="105">
        <v>0</v>
      </c>
      <c r="I562" s="105">
        <v>0</v>
      </c>
      <c r="J562" s="105">
        <v>0</v>
      </c>
      <c r="K562" s="106"/>
      <c r="L562" s="107"/>
    </row>
    <row r="563" spans="1:12" ht="21.95" customHeight="1" x14ac:dyDescent="0.25">
      <c r="A563" s="28"/>
      <c r="B563" s="201"/>
      <c r="C563" s="102"/>
      <c r="D563" s="108">
        <v>2024</v>
      </c>
      <c r="E563" s="105">
        <f t="shared" si="14"/>
        <v>0</v>
      </c>
      <c r="F563" s="122">
        <v>0</v>
      </c>
      <c r="G563" s="105">
        <v>0</v>
      </c>
      <c r="H563" s="105">
        <v>0</v>
      </c>
      <c r="I563" s="105">
        <v>0</v>
      </c>
      <c r="J563" s="105">
        <v>0</v>
      </c>
      <c r="K563" s="106"/>
      <c r="L563" s="107"/>
    </row>
    <row r="564" spans="1:12" ht="21.95" customHeight="1" x14ac:dyDescent="0.25">
      <c r="A564" s="28"/>
      <c r="B564" s="201"/>
      <c r="C564" s="102"/>
      <c r="D564" s="108">
        <v>2025</v>
      </c>
      <c r="E564" s="105">
        <f t="shared" si="14"/>
        <v>0</v>
      </c>
      <c r="F564" s="122">
        <v>0</v>
      </c>
      <c r="G564" s="105">
        <v>0</v>
      </c>
      <c r="H564" s="105">
        <v>0</v>
      </c>
      <c r="I564" s="105">
        <v>0</v>
      </c>
      <c r="J564" s="105">
        <v>0</v>
      </c>
      <c r="K564" s="106"/>
      <c r="L564" s="107"/>
    </row>
    <row r="565" spans="1:12" ht="21.95" customHeight="1" thickBot="1" x14ac:dyDescent="0.3">
      <c r="A565" s="29"/>
      <c r="B565" s="202"/>
      <c r="C565" s="111"/>
      <c r="D565" s="124">
        <v>2026</v>
      </c>
      <c r="E565" s="113">
        <f t="shared" si="14"/>
        <v>0</v>
      </c>
      <c r="F565" s="125">
        <v>0</v>
      </c>
      <c r="G565" s="113">
        <v>0</v>
      </c>
      <c r="H565" s="113">
        <v>0</v>
      </c>
      <c r="I565" s="113">
        <v>0</v>
      </c>
      <c r="J565" s="113">
        <v>0</v>
      </c>
      <c r="K565" s="114"/>
      <c r="L565" s="115"/>
    </row>
    <row r="566" spans="1:12" ht="21.95" customHeight="1" x14ac:dyDescent="0.25">
      <c r="A566" s="27" t="s">
        <v>141</v>
      </c>
      <c r="B566" s="200" t="s">
        <v>174</v>
      </c>
      <c r="C566" s="96" t="e">
        <f>#REF!+#REF!+#REF!+#REF!+#REF!+#REF!+#REF!+#REF!</f>
        <v>#REF!</v>
      </c>
      <c r="D566" s="98">
        <v>2018</v>
      </c>
      <c r="E566" s="99">
        <f t="shared" si="14"/>
        <v>0</v>
      </c>
      <c r="F566" s="99">
        <v>0</v>
      </c>
      <c r="G566" s="99">
        <v>0</v>
      </c>
      <c r="H566" s="99">
        <v>0</v>
      </c>
      <c r="I566" s="99">
        <v>0</v>
      </c>
      <c r="J566" s="99">
        <v>0</v>
      </c>
      <c r="K566" s="100" t="s">
        <v>142</v>
      </c>
      <c r="L566" s="101" t="s">
        <v>6</v>
      </c>
    </row>
    <row r="567" spans="1:12" ht="29.25" customHeight="1" x14ac:dyDescent="0.25">
      <c r="A567" s="28"/>
      <c r="B567" s="201"/>
      <c r="C567" s="102"/>
      <c r="D567" s="104">
        <v>2019</v>
      </c>
      <c r="E567" s="105">
        <f t="shared" si="14"/>
        <v>9990.3000000000011</v>
      </c>
      <c r="F567" s="105">
        <v>0</v>
      </c>
      <c r="G567" s="105">
        <v>9490.7000000000007</v>
      </c>
      <c r="H567" s="105">
        <v>499.6</v>
      </c>
      <c r="I567" s="105">
        <v>499.6</v>
      </c>
      <c r="J567" s="105">
        <v>0</v>
      </c>
      <c r="K567" s="106"/>
      <c r="L567" s="107"/>
    </row>
    <row r="568" spans="1:12" ht="27.75" customHeight="1" x14ac:dyDescent="0.25">
      <c r="A568" s="28"/>
      <c r="B568" s="201"/>
      <c r="C568" s="102"/>
      <c r="D568" s="108">
        <v>2020</v>
      </c>
      <c r="E568" s="105">
        <f t="shared" si="14"/>
        <v>10735.5</v>
      </c>
      <c r="F568" s="122">
        <v>0</v>
      </c>
      <c r="G568" s="105">
        <v>10198.700000000001</v>
      </c>
      <c r="H568" s="105">
        <v>536.79999999999995</v>
      </c>
      <c r="I568" s="105">
        <v>536.79999999999995</v>
      </c>
      <c r="J568" s="105">
        <v>0</v>
      </c>
      <c r="K568" s="106"/>
      <c r="L568" s="107"/>
    </row>
    <row r="569" spans="1:12" ht="27.75" customHeight="1" x14ac:dyDescent="0.25">
      <c r="A569" s="28"/>
      <c r="B569" s="201"/>
      <c r="C569" s="102"/>
      <c r="D569" s="108">
        <v>2021</v>
      </c>
      <c r="E569" s="105">
        <f t="shared" si="14"/>
        <v>0</v>
      </c>
      <c r="F569" s="122">
        <v>0</v>
      </c>
      <c r="G569" s="105">
        <v>0</v>
      </c>
      <c r="H569" s="105">
        <v>0</v>
      </c>
      <c r="I569" s="105">
        <v>0</v>
      </c>
      <c r="J569" s="105">
        <v>0</v>
      </c>
      <c r="K569" s="106"/>
      <c r="L569" s="107"/>
    </row>
    <row r="570" spans="1:12" ht="26.25" customHeight="1" x14ac:dyDescent="0.25">
      <c r="A570" s="28"/>
      <c r="B570" s="201"/>
      <c r="C570" s="102"/>
      <c r="D570" s="108">
        <v>2022</v>
      </c>
      <c r="E570" s="105">
        <f t="shared" si="14"/>
        <v>0</v>
      </c>
      <c r="F570" s="122">
        <v>0</v>
      </c>
      <c r="G570" s="105">
        <v>0</v>
      </c>
      <c r="H570" s="105">
        <v>0</v>
      </c>
      <c r="I570" s="105">
        <v>0</v>
      </c>
      <c r="J570" s="105">
        <v>0</v>
      </c>
      <c r="K570" s="106"/>
      <c r="L570" s="107"/>
    </row>
    <row r="571" spans="1:12" ht="32.25" customHeight="1" x14ac:dyDescent="0.25">
      <c r="A571" s="28"/>
      <c r="B571" s="201"/>
      <c r="C571" s="102"/>
      <c r="D571" s="108">
        <v>2023</v>
      </c>
      <c r="E571" s="105">
        <f t="shared" si="14"/>
        <v>0</v>
      </c>
      <c r="F571" s="122">
        <v>0</v>
      </c>
      <c r="G571" s="105">
        <v>0</v>
      </c>
      <c r="H571" s="105">
        <v>0</v>
      </c>
      <c r="I571" s="105">
        <v>0</v>
      </c>
      <c r="J571" s="105">
        <v>0</v>
      </c>
      <c r="K571" s="106"/>
      <c r="L571" s="107"/>
    </row>
    <row r="572" spans="1:12" ht="27" customHeight="1" x14ac:dyDescent="0.25">
      <c r="A572" s="28"/>
      <c r="B572" s="201"/>
      <c r="C572" s="102"/>
      <c r="D572" s="108">
        <v>2024</v>
      </c>
      <c r="E572" s="105">
        <f t="shared" si="14"/>
        <v>0</v>
      </c>
      <c r="F572" s="122">
        <v>0</v>
      </c>
      <c r="G572" s="105">
        <v>0</v>
      </c>
      <c r="H572" s="105">
        <v>0</v>
      </c>
      <c r="I572" s="105">
        <v>0</v>
      </c>
      <c r="J572" s="105">
        <v>0</v>
      </c>
      <c r="K572" s="106"/>
      <c r="L572" s="107"/>
    </row>
    <row r="573" spans="1:12" ht="29.25" customHeight="1" x14ac:dyDescent="0.25">
      <c r="A573" s="28"/>
      <c r="B573" s="201"/>
      <c r="C573" s="102"/>
      <c r="D573" s="108">
        <v>2025</v>
      </c>
      <c r="E573" s="105">
        <f t="shared" si="14"/>
        <v>0</v>
      </c>
      <c r="F573" s="122">
        <v>0</v>
      </c>
      <c r="G573" s="105">
        <v>0</v>
      </c>
      <c r="H573" s="105">
        <v>0</v>
      </c>
      <c r="I573" s="105">
        <v>0</v>
      </c>
      <c r="J573" s="105">
        <v>0</v>
      </c>
      <c r="K573" s="106"/>
      <c r="L573" s="107"/>
    </row>
    <row r="574" spans="1:12" ht="42" customHeight="1" thickBot="1" x14ac:dyDescent="0.3">
      <c r="A574" s="29"/>
      <c r="B574" s="202"/>
      <c r="C574" s="111"/>
      <c r="D574" s="124">
        <v>2026</v>
      </c>
      <c r="E574" s="113">
        <f t="shared" si="14"/>
        <v>0</v>
      </c>
      <c r="F574" s="125">
        <v>0</v>
      </c>
      <c r="G574" s="113">
        <v>0</v>
      </c>
      <c r="H574" s="113">
        <v>0</v>
      </c>
      <c r="I574" s="113">
        <v>0</v>
      </c>
      <c r="J574" s="113">
        <v>0</v>
      </c>
      <c r="K574" s="114"/>
      <c r="L574" s="115"/>
    </row>
    <row r="575" spans="1:12" ht="27" customHeight="1" x14ac:dyDescent="0.25">
      <c r="A575" s="16" t="s">
        <v>143</v>
      </c>
      <c r="B575" s="200" t="s">
        <v>144</v>
      </c>
      <c r="C575" s="96" t="e">
        <f>#REF!+#REF!+#REF!+#REF!+#REF!+#REF!+#REF!+#REF!</f>
        <v>#REF!</v>
      </c>
      <c r="D575" s="98">
        <v>2018</v>
      </c>
      <c r="E575" s="99">
        <f t="shared" si="14"/>
        <v>0</v>
      </c>
      <c r="F575" s="99">
        <v>0</v>
      </c>
      <c r="G575" s="99">
        <v>0</v>
      </c>
      <c r="H575" s="99">
        <v>0</v>
      </c>
      <c r="I575" s="99">
        <v>0</v>
      </c>
      <c r="J575" s="99">
        <v>0</v>
      </c>
      <c r="K575" s="100" t="s">
        <v>146</v>
      </c>
      <c r="L575" s="101" t="s">
        <v>31</v>
      </c>
    </row>
    <row r="576" spans="1:12" ht="27" customHeight="1" x14ac:dyDescent="0.25">
      <c r="A576" s="17"/>
      <c r="B576" s="201"/>
      <c r="C576" s="102"/>
      <c r="D576" s="104">
        <v>2019</v>
      </c>
      <c r="E576" s="105">
        <f t="shared" si="14"/>
        <v>557.79999999999995</v>
      </c>
      <c r="F576" s="105">
        <v>0</v>
      </c>
      <c r="G576" s="105">
        <v>0</v>
      </c>
      <c r="H576" s="105">
        <v>557.79999999999995</v>
      </c>
      <c r="I576" s="105">
        <v>0</v>
      </c>
      <c r="J576" s="105">
        <v>0</v>
      </c>
      <c r="K576" s="106"/>
      <c r="L576" s="107"/>
    </row>
    <row r="577" spans="1:12" ht="27" customHeight="1" x14ac:dyDescent="0.25">
      <c r="A577" s="17"/>
      <c r="B577" s="201"/>
      <c r="C577" s="102"/>
      <c r="D577" s="108">
        <v>2020</v>
      </c>
      <c r="E577" s="105">
        <f t="shared" si="14"/>
        <v>296.10000000000002</v>
      </c>
      <c r="F577" s="122">
        <v>0</v>
      </c>
      <c r="G577" s="105">
        <v>0</v>
      </c>
      <c r="H577" s="105">
        <v>296.10000000000002</v>
      </c>
      <c r="I577" s="105">
        <v>0</v>
      </c>
      <c r="J577" s="105">
        <v>0</v>
      </c>
      <c r="K577" s="106"/>
      <c r="L577" s="107"/>
    </row>
    <row r="578" spans="1:12" ht="27" customHeight="1" x14ac:dyDescent="0.25">
      <c r="A578" s="17"/>
      <c r="B578" s="201"/>
      <c r="C578" s="102"/>
      <c r="D578" s="108">
        <v>2021</v>
      </c>
      <c r="E578" s="105">
        <f t="shared" si="14"/>
        <v>0</v>
      </c>
      <c r="F578" s="122">
        <v>0</v>
      </c>
      <c r="G578" s="105">
        <v>0</v>
      </c>
      <c r="H578" s="105">
        <v>0</v>
      </c>
      <c r="I578" s="105">
        <v>0</v>
      </c>
      <c r="J578" s="105">
        <v>0</v>
      </c>
      <c r="K578" s="106"/>
      <c r="L578" s="107"/>
    </row>
    <row r="579" spans="1:12" ht="27" customHeight="1" x14ac:dyDescent="0.25">
      <c r="A579" s="17"/>
      <c r="B579" s="201"/>
      <c r="C579" s="102"/>
      <c r="D579" s="108">
        <v>2022</v>
      </c>
      <c r="E579" s="105">
        <f t="shared" si="14"/>
        <v>0</v>
      </c>
      <c r="F579" s="122">
        <v>0</v>
      </c>
      <c r="G579" s="105">
        <v>0</v>
      </c>
      <c r="H579" s="105">
        <v>0</v>
      </c>
      <c r="I579" s="105">
        <v>0</v>
      </c>
      <c r="J579" s="105">
        <v>0</v>
      </c>
      <c r="K579" s="106"/>
      <c r="L579" s="107"/>
    </row>
    <row r="580" spans="1:12" ht="27" customHeight="1" x14ac:dyDescent="0.25">
      <c r="A580" s="17"/>
      <c r="B580" s="201"/>
      <c r="C580" s="102"/>
      <c r="D580" s="108">
        <v>2023</v>
      </c>
      <c r="E580" s="105">
        <f t="shared" si="14"/>
        <v>0</v>
      </c>
      <c r="F580" s="122">
        <v>0</v>
      </c>
      <c r="G580" s="105">
        <v>0</v>
      </c>
      <c r="H580" s="105">
        <v>0</v>
      </c>
      <c r="I580" s="105">
        <v>0</v>
      </c>
      <c r="J580" s="105">
        <v>0</v>
      </c>
      <c r="K580" s="106"/>
      <c r="L580" s="107"/>
    </row>
    <row r="581" spans="1:12" ht="27" customHeight="1" x14ac:dyDescent="0.25">
      <c r="A581" s="17"/>
      <c r="B581" s="201"/>
      <c r="C581" s="102"/>
      <c r="D581" s="108">
        <v>2024</v>
      </c>
      <c r="E581" s="105">
        <f t="shared" si="14"/>
        <v>0</v>
      </c>
      <c r="F581" s="122">
        <v>0</v>
      </c>
      <c r="G581" s="105">
        <v>0</v>
      </c>
      <c r="H581" s="105">
        <v>0</v>
      </c>
      <c r="I581" s="105">
        <v>0</v>
      </c>
      <c r="J581" s="105">
        <v>0</v>
      </c>
      <c r="K581" s="106"/>
      <c r="L581" s="107"/>
    </row>
    <row r="582" spans="1:12" ht="27" customHeight="1" x14ac:dyDescent="0.25">
      <c r="A582" s="17"/>
      <c r="B582" s="201"/>
      <c r="C582" s="102"/>
      <c r="D582" s="108">
        <v>2025</v>
      </c>
      <c r="E582" s="105">
        <f t="shared" si="14"/>
        <v>0</v>
      </c>
      <c r="F582" s="122">
        <v>0</v>
      </c>
      <c r="G582" s="105">
        <v>0</v>
      </c>
      <c r="H582" s="105">
        <v>0</v>
      </c>
      <c r="I582" s="105">
        <v>0</v>
      </c>
      <c r="J582" s="105">
        <v>0</v>
      </c>
      <c r="K582" s="106"/>
      <c r="L582" s="107"/>
    </row>
    <row r="583" spans="1:12" ht="27" customHeight="1" x14ac:dyDescent="0.25">
      <c r="A583" s="17"/>
      <c r="B583" s="201"/>
      <c r="C583" s="103"/>
      <c r="D583" s="181">
        <v>2026</v>
      </c>
      <c r="E583" s="105">
        <f t="shared" si="14"/>
        <v>0</v>
      </c>
      <c r="F583" s="122">
        <v>0</v>
      </c>
      <c r="G583" s="105">
        <v>0</v>
      </c>
      <c r="H583" s="105">
        <v>0</v>
      </c>
      <c r="I583" s="105">
        <v>0</v>
      </c>
      <c r="J583" s="105">
        <v>0</v>
      </c>
      <c r="K583" s="106"/>
      <c r="L583" s="107"/>
    </row>
    <row r="584" spans="1:12" ht="27" customHeight="1" x14ac:dyDescent="0.25">
      <c r="A584" s="17"/>
      <c r="B584" s="214" t="s">
        <v>145</v>
      </c>
      <c r="C584" s="102" t="e">
        <f>#REF!+#REF!+#REF!+#REF!+#REF!+#REF!+#REF!+#REF!</f>
        <v>#REF!</v>
      </c>
      <c r="D584" s="104">
        <v>2018</v>
      </c>
      <c r="E584" s="105">
        <f t="shared" si="14"/>
        <v>0</v>
      </c>
      <c r="F584" s="105">
        <v>0</v>
      </c>
      <c r="G584" s="105">
        <v>0</v>
      </c>
      <c r="H584" s="105">
        <v>0</v>
      </c>
      <c r="I584" s="105">
        <v>0</v>
      </c>
      <c r="J584" s="105">
        <v>0</v>
      </c>
      <c r="K584" s="106" t="s">
        <v>292</v>
      </c>
      <c r="L584" s="107" t="s">
        <v>147</v>
      </c>
    </row>
    <row r="585" spans="1:12" ht="27" customHeight="1" x14ac:dyDescent="0.25">
      <c r="A585" s="17"/>
      <c r="B585" s="215"/>
      <c r="C585" s="102"/>
      <c r="D585" s="104">
        <v>2019</v>
      </c>
      <c r="E585" s="105">
        <f t="shared" si="14"/>
        <v>0</v>
      </c>
      <c r="F585" s="105">
        <v>0</v>
      </c>
      <c r="G585" s="105">
        <v>0</v>
      </c>
      <c r="H585" s="105">
        <v>0</v>
      </c>
      <c r="I585" s="105">
        <v>0</v>
      </c>
      <c r="J585" s="105">
        <v>0</v>
      </c>
      <c r="K585" s="106"/>
      <c r="L585" s="107"/>
    </row>
    <row r="586" spans="1:12" ht="27" customHeight="1" x14ac:dyDescent="0.25">
      <c r="A586" s="17"/>
      <c r="B586" s="215"/>
      <c r="C586" s="102"/>
      <c r="D586" s="108">
        <v>2020</v>
      </c>
      <c r="E586" s="105">
        <f t="shared" si="14"/>
        <v>768.5</v>
      </c>
      <c r="F586" s="122">
        <v>0</v>
      </c>
      <c r="G586" s="105">
        <v>0</v>
      </c>
      <c r="H586" s="105">
        <v>768.5</v>
      </c>
      <c r="I586" s="105">
        <v>0</v>
      </c>
      <c r="J586" s="105">
        <v>0</v>
      </c>
      <c r="K586" s="106"/>
      <c r="L586" s="107"/>
    </row>
    <row r="587" spans="1:12" ht="27" customHeight="1" x14ac:dyDescent="0.25">
      <c r="A587" s="17"/>
      <c r="B587" s="215"/>
      <c r="C587" s="102"/>
      <c r="D587" s="108">
        <v>2021</v>
      </c>
      <c r="E587" s="105">
        <f t="shared" si="14"/>
        <v>0</v>
      </c>
      <c r="F587" s="122">
        <v>0</v>
      </c>
      <c r="G587" s="105">
        <v>0</v>
      </c>
      <c r="H587" s="105">
        <v>0</v>
      </c>
      <c r="I587" s="105">
        <v>0</v>
      </c>
      <c r="J587" s="105">
        <v>0</v>
      </c>
      <c r="K587" s="106"/>
      <c r="L587" s="107"/>
    </row>
    <row r="588" spans="1:12" ht="27" customHeight="1" x14ac:dyDescent="0.25">
      <c r="A588" s="17"/>
      <c r="B588" s="215"/>
      <c r="C588" s="102"/>
      <c r="D588" s="108">
        <v>2022</v>
      </c>
      <c r="E588" s="105">
        <f t="shared" si="14"/>
        <v>0</v>
      </c>
      <c r="F588" s="122">
        <v>0</v>
      </c>
      <c r="G588" s="105">
        <v>0</v>
      </c>
      <c r="H588" s="105">
        <v>0</v>
      </c>
      <c r="I588" s="105">
        <v>0</v>
      </c>
      <c r="J588" s="105">
        <v>0</v>
      </c>
      <c r="K588" s="106"/>
      <c r="L588" s="107"/>
    </row>
    <row r="589" spans="1:12" ht="27" customHeight="1" x14ac:dyDescent="0.25">
      <c r="A589" s="17"/>
      <c r="B589" s="215"/>
      <c r="C589" s="102"/>
      <c r="D589" s="108">
        <v>2023</v>
      </c>
      <c r="E589" s="105">
        <f t="shared" si="14"/>
        <v>0</v>
      </c>
      <c r="F589" s="122">
        <v>0</v>
      </c>
      <c r="G589" s="105">
        <v>0</v>
      </c>
      <c r="H589" s="105">
        <v>0</v>
      </c>
      <c r="I589" s="105">
        <v>0</v>
      </c>
      <c r="J589" s="105">
        <v>0</v>
      </c>
      <c r="K589" s="106"/>
      <c r="L589" s="107"/>
    </row>
    <row r="590" spans="1:12" ht="27" customHeight="1" x14ac:dyDescent="0.25">
      <c r="A590" s="17"/>
      <c r="B590" s="215"/>
      <c r="C590" s="102"/>
      <c r="D590" s="108">
        <v>2024</v>
      </c>
      <c r="E590" s="105">
        <f t="shared" si="14"/>
        <v>0</v>
      </c>
      <c r="F590" s="122">
        <v>0</v>
      </c>
      <c r="G590" s="105">
        <v>0</v>
      </c>
      <c r="H590" s="105">
        <v>0</v>
      </c>
      <c r="I590" s="105">
        <v>0</v>
      </c>
      <c r="J590" s="105">
        <v>0</v>
      </c>
      <c r="K590" s="106"/>
      <c r="L590" s="107"/>
    </row>
    <row r="591" spans="1:12" ht="27" customHeight="1" x14ac:dyDescent="0.25">
      <c r="A591" s="17"/>
      <c r="B591" s="215"/>
      <c r="C591" s="102"/>
      <c r="D591" s="108">
        <v>2025</v>
      </c>
      <c r="E591" s="105">
        <f t="shared" si="14"/>
        <v>0</v>
      </c>
      <c r="F591" s="122">
        <v>0</v>
      </c>
      <c r="G591" s="105">
        <v>0</v>
      </c>
      <c r="H591" s="105">
        <v>0</v>
      </c>
      <c r="I591" s="105">
        <v>0</v>
      </c>
      <c r="J591" s="105">
        <v>0</v>
      </c>
      <c r="K591" s="106"/>
      <c r="L591" s="107"/>
    </row>
    <row r="592" spans="1:12" ht="27" customHeight="1" thickBot="1" x14ac:dyDescent="0.3">
      <c r="A592" s="18"/>
      <c r="B592" s="216"/>
      <c r="C592" s="111"/>
      <c r="D592" s="124">
        <v>2026</v>
      </c>
      <c r="E592" s="113">
        <f t="shared" si="14"/>
        <v>0</v>
      </c>
      <c r="F592" s="125">
        <v>0</v>
      </c>
      <c r="G592" s="113">
        <v>0</v>
      </c>
      <c r="H592" s="113">
        <v>0</v>
      </c>
      <c r="I592" s="113">
        <v>0</v>
      </c>
      <c r="J592" s="113">
        <v>0</v>
      </c>
      <c r="K592" s="114"/>
      <c r="L592" s="115"/>
    </row>
    <row r="593" spans="1:12" ht="30" customHeight="1" x14ac:dyDescent="0.25">
      <c r="A593" s="27" t="s">
        <v>200</v>
      </c>
      <c r="B593" s="200" t="s">
        <v>148</v>
      </c>
      <c r="C593" s="96" t="e">
        <f>#REF!+#REF!+#REF!+#REF!+#REF!+#REF!+#REF!+#REF!</f>
        <v>#REF!</v>
      </c>
      <c r="D593" s="98">
        <v>2018</v>
      </c>
      <c r="E593" s="99">
        <f t="shared" si="14"/>
        <v>0</v>
      </c>
      <c r="F593" s="99">
        <v>0</v>
      </c>
      <c r="G593" s="99">
        <v>0</v>
      </c>
      <c r="H593" s="99">
        <v>0</v>
      </c>
      <c r="I593" s="99">
        <v>0</v>
      </c>
      <c r="J593" s="99">
        <v>0</v>
      </c>
      <c r="K593" s="100" t="s">
        <v>149</v>
      </c>
      <c r="L593" s="101" t="s">
        <v>150</v>
      </c>
    </row>
    <row r="594" spans="1:12" ht="30" customHeight="1" x14ac:dyDescent="0.25">
      <c r="A594" s="28"/>
      <c r="B594" s="201"/>
      <c r="C594" s="102"/>
      <c r="D594" s="104">
        <v>2019</v>
      </c>
      <c r="E594" s="105">
        <f t="shared" si="14"/>
        <v>0</v>
      </c>
      <c r="F594" s="105">
        <v>0</v>
      </c>
      <c r="G594" s="105">
        <v>0</v>
      </c>
      <c r="H594" s="105">
        <v>0</v>
      </c>
      <c r="I594" s="105">
        <v>0</v>
      </c>
      <c r="J594" s="105">
        <v>0</v>
      </c>
      <c r="K594" s="106"/>
      <c r="L594" s="107"/>
    </row>
    <row r="595" spans="1:12" ht="30" customHeight="1" x14ac:dyDescent="0.25">
      <c r="A595" s="28"/>
      <c r="B595" s="201"/>
      <c r="C595" s="102"/>
      <c r="D595" s="108">
        <v>2020</v>
      </c>
      <c r="E595" s="105">
        <f t="shared" si="14"/>
        <v>0</v>
      </c>
      <c r="F595" s="122">
        <v>0</v>
      </c>
      <c r="G595" s="105">
        <v>0</v>
      </c>
      <c r="H595" s="105">
        <v>0</v>
      </c>
      <c r="I595" s="105">
        <v>0</v>
      </c>
      <c r="J595" s="105">
        <v>0</v>
      </c>
      <c r="K595" s="106"/>
      <c r="L595" s="107"/>
    </row>
    <row r="596" spans="1:12" ht="30" customHeight="1" x14ac:dyDescent="0.25">
      <c r="A596" s="28"/>
      <c r="B596" s="201"/>
      <c r="C596" s="102"/>
      <c r="D596" s="108">
        <v>2021</v>
      </c>
      <c r="E596" s="105">
        <f t="shared" si="14"/>
        <v>0</v>
      </c>
      <c r="F596" s="122">
        <v>0</v>
      </c>
      <c r="G596" s="105">
        <v>0</v>
      </c>
      <c r="H596" s="105">
        <v>0</v>
      </c>
      <c r="I596" s="105">
        <v>0</v>
      </c>
      <c r="J596" s="105">
        <v>0</v>
      </c>
      <c r="K596" s="106"/>
      <c r="L596" s="107"/>
    </row>
    <row r="597" spans="1:12" ht="30" customHeight="1" x14ac:dyDescent="0.25">
      <c r="A597" s="28"/>
      <c r="B597" s="201"/>
      <c r="C597" s="102"/>
      <c r="D597" s="108">
        <v>2022</v>
      </c>
      <c r="E597" s="105">
        <f t="shared" si="14"/>
        <v>0</v>
      </c>
      <c r="F597" s="122">
        <v>0</v>
      </c>
      <c r="G597" s="105">
        <v>0</v>
      </c>
      <c r="H597" s="105">
        <v>0</v>
      </c>
      <c r="I597" s="105">
        <v>0</v>
      </c>
      <c r="J597" s="105">
        <v>0</v>
      </c>
      <c r="K597" s="106"/>
      <c r="L597" s="107"/>
    </row>
    <row r="598" spans="1:12" ht="30" customHeight="1" x14ac:dyDescent="0.25">
      <c r="A598" s="28"/>
      <c r="B598" s="201"/>
      <c r="C598" s="102"/>
      <c r="D598" s="108">
        <v>2023</v>
      </c>
      <c r="E598" s="105">
        <f t="shared" si="14"/>
        <v>0</v>
      </c>
      <c r="F598" s="122">
        <v>0</v>
      </c>
      <c r="G598" s="105">
        <v>0</v>
      </c>
      <c r="H598" s="105">
        <v>0</v>
      </c>
      <c r="I598" s="105">
        <v>0</v>
      </c>
      <c r="J598" s="105">
        <v>0</v>
      </c>
      <c r="K598" s="106"/>
      <c r="L598" s="107"/>
    </row>
    <row r="599" spans="1:12" ht="30" customHeight="1" x14ac:dyDescent="0.25">
      <c r="A599" s="28"/>
      <c r="B599" s="201"/>
      <c r="C599" s="102"/>
      <c r="D599" s="108">
        <v>2024</v>
      </c>
      <c r="E599" s="105">
        <f t="shared" si="14"/>
        <v>0</v>
      </c>
      <c r="F599" s="122">
        <v>0</v>
      </c>
      <c r="G599" s="105">
        <v>0</v>
      </c>
      <c r="H599" s="105">
        <v>0</v>
      </c>
      <c r="I599" s="105">
        <v>0</v>
      </c>
      <c r="J599" s="105">
        <v>0</v>
      </c>
      <c r="K599" s="106"/>
      <c r="L599" s="107"/>
    </row>
    <row r="600" spans="1:12" ht="30" customHeight="1" x14ac:dyDescent="0.25">
      <c r="A600" s="28"/>
      <c r="B600" s="201"/>
      <c r="C600" s="102"/>
      <c r="D600" s="108">
        <v>2025</v>
      </c>
      <c r="E600" s="105">
        <f t="shared" si="14"/>
        <v>0</v>
      </c>
      <c r="F600" s="122">
        <v>0</v>
      </c>
      <c r="G600" s="105">
        <v>0</v>
      </c>
      <c r="H600" s="105">
        <v>0</v>
      </c>
      <c r="I600" s="105">
        <v>0</v>
      </c>
      <c r="J600" s="105">
        <v>0</v>
      </c>
      <c r="K600" s="106"/>
      <c r="L600" s="107"/>
    </row>
    <row r="601" spans="1:12" ht="30" customHeight="1" thickBot="1" x14ac:dyDescent="0.3">
      <c r="A601" s="29"/>
      <c r="B601" s="202"/>
      <c r="C601" s="111"/>
      <c r="D601" s="124">
        <v>2026</v>
      </c>
      <c r="E601" s="113">
        <f t="shared" si="14"/>
        <v>0</v>
      </c>
      <c r="F601" s="125">
        <v>0</v>
      </c>
      <c r="G601" s="113">
        <v>0</v>
      </c>
      <c r="H601" s="113">
        <v>0</v>
      </c>
      <c r="I601" s="113">
        <v>0</v>
      </c>
      <c r="J601" s="113">
        <v>0</v>
      </c>
      <c r="K601" s="114"/>
      <c r="L601" s="115"/>
    </row>
    <row r="602" spans="1:12" ht="30" customHeight="1" x14ac:dyDescent="0.25">
      <c r="A602" s="27" t="s">
        <v>151</v>
      </c>
      <c r="B602" s="200" t="s">
        <v>152</v>
      </c>
      <c r="C602" s="96" t="e">
        <f>#REF!+#REF!+#REF!+#REF!+#REF!+#REF!+#REF!+#REF!</f>
        <v>#REF!</v>
      </c>
      <c r="D602" s="98">
        <v>2018</v>
      </c>
      <c r="E602" s="99">
        <f t="shared" si="14"/>
        <v>0</v>
      </c>
      <c r="F602" s="99">
        <v>0</v>
      </c>
      <c r="G602" s="99">
        <v>0</v>
      </c>
      <c r="H602" s="99">
        <v>0</v>
      </c>
      <c r="I602" s="99">
        <v>0</v>
      </c>
      <c r="J602" s="99">
        <v>0</v>
      </c>
      <c r="K602" s="100" t="s">
        <v>185</v>
      </c>
      <c r="L602" s="101" t="s">
        <v>6</v>
      </c>
    </row>
    <row r="603" spans="1:12" ht="30" customHeight="1" x14ac:dyDescent="0.25">
      <c r="A603" s="28"/>
      <c r="B603" s="201"/>
      <c r="C603" s="102"/>
      <c r="D603" s="104">
        <v>2019</v>
      </c>
      <c r="E603" s="105">
        <f t="shared" si="14"/>
        <v>0</v>
      </c>
      <c r="F603" s="105">
        <v>0</v>
      </c>
      <c r="G603" s="105">
        <v>0</v>
      </c>
      <c r="H603" s="105">
        <v>0</v>
      </c>
      <c r="I603" s="105">
        <v>0</v>
      </c>
      <c r="J603" s="105">
        <v>0</v>
      </c>
      <c r="K603" s="106"/>
      <c r="L603" s="107"/>
    </row>
    <row r="604" spans="1:12" ht="30" customHeight="1" x14ac:dyDescent="0.25">
      <c r="A604" s="28"/>
      <c r="B604" s="201"/>
      <c r="C604" s="102"/>
      <c r="D604" s="108">
        <v>2020</v>
      </c>
      <c r="E604" s="105">
        <f t="shared" si="14"/>
        <v>30040.7</v>
      </c>
      <c r="F604" s="122">
        <v>0</v>
      </c>
      <c r="G604" s="105">
        <v>27996</v>
      </c>
      <c r="H604" s="105">
        <v>2044.7</v>
      </c>
      <c r="I604" s="105">
        <v>1473.5</v>
      </c>
      <c r="J604" s="105">
        <v>0</v>
      </c>
      <c r="K604" s="106"/>
      <c r="L604" s="107"/>
    </row>
    <row r="605" spans="1:12" ht="30" customHeight="1" x14ac:dyDescent="0.25">
      <c r="A605" s="28"/>
      <c r="B605" s="201"/>
      <c r="C605" s="102"/>
      <c r="D605" s="108">
        <v>2021</v>
      </c>
      <c r="E605" s="105">
        <f t="shared" si="14"/>
        <v>78410.8</v>
      </c>
      <c r="F605" s="122">
        <v>0</v>
      </c>
      <c r="G605" s="105">
        <v>72377.600000000006</v>
      </c>
      <c r="H605" s="105">
        <v>6033.2</v>
      </c>
      <c r="I605" s="105">
        <v>3809.4</v>
      </c>
      <c r="J605" s="105">
        <v>0</v>
      </c>
      <c r="K605" s="106"/>
      <c r="L605" s="107"/>
    </row>
    <row r="606" spans="1:12" ht="30" customHeight="1" x14ac:dyDescent="0.25">
      <c r="A606" s="28"/>
      <c r="B606" s="201"/>
      <c r="C606" s="102"/>
      <c r="D606" s="108">
        <v>2022</v>
      </c>
      <c r="E606" s="105">
        <f t="shared" si="14"/>
        <v>65579.8</v>
      </c>
      <c r="F606" s="122">
        <v>0</v>
      </c>
      <c r="G606" s="105">
        <v>62300.800000000003</v>
      </c>
      <c r="H606" s="105">
        <f>3279.1-0.1</f>
        <v>3279</v>
      </c>
      <c r="I606" s="217">
        <v>3279</v>
      </c>
      <c r="J606" s="105">
        <v>0</v>
      </c>
      <c r="K606" s="106"/>
      <c r="L606" s="107"/>
    </row>
    <row r="607" spans="1:12" ht="30" customHeight="1" x14ac:dyDescent="0.25">
      <c r="A607" s="28"/>
      <c r="B607" s="201"/>
      <c r="C607" s="102"/>
      <c r="D607" s="108">
        <v>2023</v>
      </c>
      <c r="E607" s="105">
        <f t="shared" si="14"/>
        <v>68998.5</v>
      </c>
      <c r="F607" s="122">
        <v>0</v>
      </c>
      <c r="G607" s="105">
        <f>61465.1+4083.4</f>
        <v>65548.5</v>
      </c>
      <c r="H607" s="105">
        <f>I607</f>
        <v>3450</v>
      </c>
      <c r="I607" s="105">
        <f>3235.1+214.9</f>
        <v>3450</v>
      </c>
      <c r="J607" s="105">
        <v>0</v>
      </c>
      <c r="K607" s="106"/>
      <c r="L607" s="107"/>
    </row>
    <row r="608" spans="1:12" ht="30" customHeight="1" x14ac:dyDescent="0.25">
      <c r="A608" s="28"/>
      <c r="B608" s="201"/>
      <c r="C608" s="102"/>
      <c r="D608" s="108">
        <v>2024</v>
      </c>
      <c r="E608" s="105">
        <f t="shared" si="14"/>
        <v>80975</v>
      </c>
      <c r="F608" s="122">
        <v>0</v>
      </c>
      <c r="G608" s="123">
        <f>76233.1</f>
        <v>76233.100000000006</v>
      </c>
      <c r="H608" s="123">
        <f>I608</f>
        <v>4741.9000000000005</v>
      </c>
      <c r="I608" s="123">
        <f>4012.3+729.6</f>
        <v>4741.9000000000005</v>
      </c>
      <c r="J608" s="105">
        <v>0</v>
      </c>
      <c r="K608" s="106"/>
      <c r="L608" s="107"/>
    </row>
    <row r="609" spans="1:12" ht="30" customHeight="1" x14ac:dyDescent="0.25">
      <c r="A609" s="28"/>
      <c r="B609" s="201"/>
      <c r="C609" s="102"/>
      <c r="D609" s="108">
        <v>2025</v>
      </c>
      <c r="E609" s="105">
        <f>F609+G609+H609+J609</f>
        <v>87941.6</v>
      </c>
      <c r="F609" s="122">
        <v>0</v>
      </c>
      <c r="G609" s="123">
        <v>83544.5</v>
      </c>
      <c r="H609" s="123">
        <f>I609</f>
        <v>4397.1000000000004</v>
      </c>
      <c r="I609" s="123">
        <f>4397.1</f>
        <v>4397.1000000000004</v>
      </c>
      <c r="J609" s="105">
        <v>0</v>
      </c>
      <c r="K609" s="106"/>
      <c r="L609" s="107"/>
    </row>
    <row r="610" spans="1:12" ht="30" customHeight="1" thickBot="1" x14ac:dyDescent="0.3">
      <c r="A610" s="29"/>
      <c r="B610" s="202"/>
      <c r="C610" s="111"/>
      <c r="D610" s="124">
        <v>2026</v>
      </c>
      <c r="E610" s="113">
        <f>F610+G610+H610+J610</f>
        <v>91185.400000000009</v>
      </c>
      <c r="F610" s="125">
        <v>0</v>
      </c>
      <c r="G610" s="126">
        <v>86626.1</v>
      </c>
      <c r="H610" s="126">
        <f>I610</f>
        <v>4559.3</v>
      </c>
      <c r="I610" s="126">
        <f>4559.3</f>
        <v>4559.3</v>
      </c>
      <c r="J610" s="113">
        <v>0</v>
      </c>
      <c r="K610" s="114"/>
      <c r="L610" s="115"/>
    </row>
    <row r="611" spans="1:12" ht="27.95" customHeight="1" x14ac:dyDescent="0.25">
      <c r="A611" s="27" t="s">
        <v>153</v>
      </c>
      <c r="B611" s="200" t="s">
        <v>154</v>
      </c>
      <c r="C611" s="96" t="e">
        <f>#REF!+#REF!+#REF!+#REF!+#REF!+#REF!+#REF!+#REF!</f>
        <v>#REF!</v>
      </c>
      <c r="D611" s="98">
        <v>2018</v>
      </c>
      <c r="E611" s="99">
        <f t="shared" si="14"/>
        <v>0</v>
      </c>
      <c r="F611" s="99">
        <v>0</v>
      </c>
      <c r="G611" s="99">
        <v>0</v>
      </c>
      <c r="H611" s="99">
        <v>0</v>
      </c>
      <c r="I611" s="99">
        <v>0</v>
      </c>
      <c r="J611" s="99">
        <v>0</v>
      </c>
      <c r="K611" s="100" t="s">
        <v>155</v>
      </c>
      <c r="L611" s="101" t="s">
        <v>6</v>
      </c>
    </row>
    <row r="612" spans="1:12" ht="27.95" customHeight="1" x14ac:dyDescent="0.25">
      <c r="A612" s="28"/>
      <c r="B612" s="201"/>
      <c r="C612" s="102"/>
      <c r="D612" s="104">
        <v>2019</v>
      </c>
      <c r="E612" s="105">
        <f t="shared" ref="E612:E682" si="15">F612+G612+H612+J612</f>
        <v>0</v>
      </c>
      <c r="F612" s="105">
        <v>0</v>
      </c>
      <c r="G612" s="105">
        <v>0</v>
      </c>
      <c r="H612" s="105">
        <v>0</v>
      </c>
      <c r="I612" s="105">
        <v>0</v>
      </c>
      <c r="J612" s="105">
        <v>0</v>
      </c>
      <c r="K612" s="106"/>
      <c r="L612" s="107"/>
    </row>
    <row r="613" spans="1:12" ht="27.95" customHeight="1" x14ac:dyDescent="0.25">
      <c r="A613" s="28"/>
      <c r="B613" s="201"/>
      <c r="C613" s="102"/>
      <c r="D613" s="108">
        <v>2020</v>
      </c>
      <c r="E613" s="105">
        <f t="shared" si="15"/>
        <v>15103.2</v>
      </c>
      <c r="F613" s="122">
        <v>15103.2</v>
      </c>
      <c r="G613" s="105">
        <v>0</v>
      </c>
      <c r="H613" s="105">
        <v>0</v>
      </c>
      <c r="I613" s="105">
        <v>0</v>
      </c>
      <c r="J613" s="105">
        <v>0</v>
      </c>
      <c r="K613" s="106"/>
      <c r="L613" s="107"/>
    </row>
    <row r="614" spans="1:12" ht="27.95" customHeight="1" x14ac:dyDescent="0.25">
      <c r="A614" s="28"/>
      <c r="B614" s="201"/>
      <c r="C614" s="102"/>
      <c r="D614" s="108">
        <v>2021</v>
      </c>
      <c r="E614" s="105">
        <f t="shared" si="15"/>
        <v>45309.599999999999</v>
      </c>
      <c r="F614" s="122">
        <v>45309.599999999999</v>
      </c>
      <c r="G614" s="105">
        <v>0</v>
      </c>
      <c r="H614" s="105">
        <v>0</v>
      </c>
      <c r="I614" s="105">
        <v>0</v>
      </c>
      <c r="J614" s="105">
        <v>0</v>
      </c>
      <c r="K614" s="106"/>
      <c r="L614" s="107"/>
    </row>
    <row r="615" spans="1:12" ht="27.95" customHeight="1" x14ac:dyDescent="0.25">
      <c r="A615" s="28"/>
      <c r="B615" s="201"/>
      <c r="C615" s="102"/>
      <c r="D615" s="108">
        <v>2022</v>
      </c>
      <c r="E615" s="105">
        <f t="shared" si="15"/>
        <v>45544</v>
      </c>
      <c r="F615" s="122">
        <f>41950.4+2968.6+625</f>
        <v>45544</v>
      </c>
      <c r="G615" s="105">
        <v>0</v>
      </c>
      <c r="H615" s="105">
        <v>0</v>
      </c>
      <c r="I615" s="105">
        <v>0</v>
      </c>
      <c r="J615" s="105">
        <v>0</v>
      </c>
      <c r="K615" s="106"/>
      <c r="L615" s="107"/>
    </row>
    <row r="616" spans="1:12" ht="27.95" customHeight="1" x14ac:dyDescent="0.25">
      <c r="A616" s="28"/>
      <c r="B616" s="201"/>
      <c r="C616" s="102"/>
      <c r="D616" s="108">
        <v>2023</v>
      </c>
      <c r="E616" s="105">
        <f t="shared" si="15"/>
        <v>45856.4</v>
      </c>
      <c r="F616" s="122">
        <f>44997.1+859.3</f>
        <v>45856.4</v>
      </c>
      <c r="G616" s="105">
        <v>0</v>
      </c>
      <c r="H616" s="105">
        <v>0</v>
      </c>
      <c r="I616" s="105">
        <v>0</v>
      </c>
      <c r="J616" s="105">
        <v>0</v>
      </c>
      <c r="K616" s="106"/>
      <c r="L616" s="107"/>
    </row>
    <row r="617" spans="1:12" ht="27.95" customHeight="1" x14ac:dyDescent="0.25">
      <c r="A617" s="28"/>
      <c r="B617" s="201"/>
      <c r="C617" s="102"/>
      <c r="D617" s="108">
        <v>2024</v>
      </c>
      <c r="E617" s="105">
        <f t="shared" si="15"/>
        <v>52705</v>
      </c>
      <c r="F617" s="122">
        <f>44919+6999.1+786.9</f>
        <v>52705</v>
      </c>
      <c r="G617" s="105">
        <v>0</v>
      </c>
      <c r="H617" s="105">
        <v>0</v>
      </c>
      <c r="I617" s="105">
        <v>0</v>
      </c>
      <c r="J617" s="105">
        <v>0</v>
      </c>
      <c r="K617" s="106"/>
      <c r="L617" s="107"/>
    </row>
    <row r="618" spans="1:12" ht="27.95" customHeight="1" x14ac:dyDescent="0.25">
      <c r="A618" s="28"/>
      <c r="B618" s="201"/>
      <c r="C618" s="102"/>
      <c r="D618" s="108">
        <v>2025</v>
      </c>
      <c r="E618" s="105">
        <f t="shared" si="15"/>
        <v>44919</v>
      </c>
      <c r="F618" s="122">
        <v>44919</v>
      </c>
      <c r="G618" s="105">
        <v>0</v>
      </c>
      <c r="H618" s="105">
        <v>0</v>
      </c>
      <c r="I618" s="105">
        <v>0</v>
      </c>
      <c r="J618" s="105">
        <v>0</v>
      </c>
      <c r="K618" s="106"/>
      <c r="L618" s="107"/>
    </row>
    <row r="619" spans="1:12" ht="27.95" customHeight="1" thickBot="1" x14ac:dyDescent="0.3">
      <c r="A619" s="29"/>
      <c r="B619" s="202"/>
      <c r="C619" s="111"/>
      <c r="D619" s="124">
        <v>2026</v>
      </c>
      <c r="E619" s="113">
        <f t="shared" si="15"/>
        <v>44997.1</v>
      </c>
      <c r="F619" s="125">
        <v>44997.1</v>
      </c>
      <c r="G619" s="113">
        <v>0</v>
      </c>
      <c r="H619" s="113">
        <v>0</v>
      </c>
      <c r="I619" s="113">
        <v>0</v>
      </c>
      <c r="J619" s="113">
        <v>0</v>
      </c>
      <c r="K619" s="114"/>
      <c r="L619" s="115"/>
    </row>
    <row r="620" spans="1:12" ht="33" customHeight="1" x14ac:dyDescent="0.25">
      <c r="A620" s="27" t="s">
        <v>156</v>
      </c>
      <c r="B620" s="207" t="s">
        <v>157</v>
      </c>
      <c r="C620" s="96" t="e">
        <f>#REF!+#REF!+#REF!+#REF!+#REF!+#REF!+#REF!+#REF!</f>
        <v>#REF!</v>
      </c>
      <c r="D620" s="98">
        <v>2018</v>
      </c>
      <c r="E620" s="99">
        <f t="shared" si="15"/>
        <v>0</v>
      </c>
      <c r="F620" s="99">
        <v>0</v>
      </c>
      <c r="G620" s="99">
        <v>0</v>
      </c>
      <c r="H620" s="99">
        <v>0</v>
      </c>
      <c r="I620" s="99">
        <v>0</v>
      </c>
      <c r="J620" s="99">
        <v>0</v>
      </c>
      <c r="K620" s="100" t="s">
        <v>158</v>
      </c>
      <c r="L620" s="101" t="s">
        <v>6</v>
      </c>
    </row>
    <row r="621" spans="1:12" ht="33" customHeight="1" x14ac:dyDescent="0.25">
      <c r="A621" s="28"/>
      <c r="B621" s="206"/>
      <c r="C621" s="102"/>
      <c r="D621" s="104">
        <v>2019</v>
      </c>
      <c r="E621" s="105">
        <f t="shared" si="15"/>
        <v>0</v>
      </c>
      <c r="F621" s="105">
        <v>0</v>
      </c>
      <c r="G621" s="105">
        <v>0</v>
      </c>
      <c r="H621" s="105">
        <v>0</v>
      </c>
      <c r="I621" s="105">
        <v>0</v>
      </c>
      <c r="J621" s="105">
        <v>0</v>
      </c>
      <c r="K621" s="106"/>
      <c r="L621" s="107"/>
    </row>
    <row r="622" spans="1:12" ht="33" customHeight="1" x14ac:dyDescent="0.25">
      <c r="A622" s="28"/>
      <c r="B622" s="206"/>
      <c r="C622" s="102"/>
      <c r="D622" s="108">
        <v>2020</v>
      </c>
      <c r="E622" s="105">
        <f t="shared" si="15"/>
        <v>3076.5</v>
      </c>
      <c r="F622" s="122">
        <v>0</v>
      </c>
      <c r="G622" s="105">
        <v>2976.5</v>
      </c>
      <c r="H622" s="105">
        <v>100</v>
      </c>
      <c r="I622" s="105">
        <v>100</v>
      </c>
      <c r="J622" s="105">
        <v>0</v>
      </c>
      <c r="K622" s="106"/>
      <c r="L622" s="107"/>
    </row>
    <row r="623" spans="1:12" ht="33" customHeight="1" x14ac:dyDescent="0.25">
      <c r="A623" s="28"/>
      <c r="B623" s="206"/>
      <c r="C623" s="102"/>
      <c r="D623" s="108">
        <v>2021</v>
      </c>
      <c r="E623" s="105">
        <f t="shared" si="15"/>
        <v>0</v>
      </c>
      <c r="F623" s="122">
        <v>0</v>
      </c>
      <c r="G623" s="105">
        <v>0</v>
      </c>
      <c r="H623" s="105">
        <v>0</v>
      </c>
      <c r="I623" s="105">
        <v>0</v>
      </c>
      <c r="J623" s="105">
        <v>0</v>
      </c>
      <c r="K623" s="106"/>
      <c r="L623" s="107"/>
    </row>
    <row r="624" spans="1:12" ht="33" customHeight="1" x14ac:dyDescent="0.25">
      <c r="A624" s="28"/>
      <c r="B624" s="206"/>
      <c r="C624" s="102"/>
      <c r="D624" s="108">
        <v>2022</v>
      </c>
      <c r="E624" s="105">
        <f t="shared" si="15"/>
        <v>0</v>
      </c>
      <c r="F624" s="122">
        <v>0</v>
      </c>
      <c r="G624" s="105">
        <v>0</v>
      </c>
      <c r="H624" s="105">
        <v>0</v>
      </c>
      <c r="I624" s="105">
        <v>0</v>
      </c>
      <c r="J624" s="105">
        <v>0</v>
      </c>
      <c r="K624" s="106"/>
      <c r="L624" s="107"/>
    </row>
    <row r="625" spans="1:12" ht="33" customHeight="1" x14ac:dyDescent="0.25">
      <c r="A625" s="28"/>
      <c r="B625" s="206"/>
      <c r="C625" s="102"/>
      <c r="D625" s="108">
        <v>2023</v>
      </c>
      <c r="E625" s="105">
        <f t="shared" si="15"/>
        <v>0</v>
      </c>
      <c r="F625" s="122">
        <v>0</v>
      </c>
      <c r="G625" s="105">
        <v>0</v>
      </c>
      <c r="H625" s="105">
        <v>0</v>
      </c>
      <c r="I625" s="105">
        <v>0</v>
      </c>
      <c r="J625" s="105">
        <v>0</v>
      </c>
      <c r="K625" s="106"/>
      <c r="L625" s="107"/>
    </row>
    <row r="626" spans="1:12" ht="33" customHeight="1" x14ac:dyDescent="0.25">
      <c r="A626" s="28"/>
      <c r="B626" s="206"/>
      <c r="C626" s="102"/>
      <c r="D626" s="108">
        <v>2024</v>
      </c>
      <c r="E626" s="105">
        <f t="shared" si="15"/>
        <v>0</v>
      </c>
      <c r="F626" s="122">
        <v>0</v>
      </c>
      <c r="G626" s="105">
        <v>0</v>
      </c>
      <c r="H626" s="105">
        <v>0</v>
      </c>
      <c r="I626" s="105">
        <v>0</v>
      </c>
      <c r="J626" s="105">
        <v>0</v>
      </c>
      <c r="K626" s="106"/>
      <c r="L626" s="107"/>
    </row>
    <row r="627" spans="1:12" ht="33" customHeight="1" x14ac:dyDescent="0.25">
      <c r="A627" s="28"/>
      <c r="B627" s="206"/>
      <c r="C627" s="102"/>
      <c r="D627" s="108">
        <v>2025</v>
      </c>
      <c r="E627" s="105">
        <f t="shared" si="15"/>
        <v>0</v>
      </c>
      <c r="F627" s="122">
        <v>0</v>
      </c>
      <c r="G627" s="105">
        <v>0</v>
      </c>
      <c r="H627" s="105">
        <v>0</v>
      </c>
      <c r="I627" s="105">
        <v>0</v>
      </c>
      <c r="J627" s="105">
        <v>0</v>
      </c>
      <c r="K627" s="106"/>
      <c r="L627" s="107"/>
    </row>
    <row r="628" spans="1:12" ht="33" customHeight="1" thickBot="1" x14ac:dyDescent="0.3">
      <c r="A628" s="29"/>
      <c r="B628" s="208"/>
      <c r="C628" s="111"/>
      <c r="D628" s="124">
        <v>2026</v>
      </c>
      <c r="E628" s="113">
        <f t="shared" si="15"/>
        <v>0</v>
      </c>
      <c r="F628" s="125">
        <v>0</v>
      </c>
      <c r="G628" s="113">
        <v>0</v>
      </c>
      <c r="H628" s="113">
        <v>0</v>
      </c>
      <c r="I628" s="113">
        <v>0</v>
      </c>
      <c r="J628" s="113">
        <v>0</v>
      </c>
      <c r="K628" s="114"/>
      <c r="L628" s="115"/>
    </row>
    <row r="629" spans="1:12" ht="29.1" customHeight="1" x14ac:dyDescent="0.25">
      <c r="A629" s="27" t="s">
        <v>159</v>
      </c>
      <c r="B629" s="200" t="s">
        <v>196</v>
      </c>
      <c r="C629" s="96" t="e">
        <f>#REF!+#REF!+#REF!+#REF!+#REF!+#REF!+#REF!+#REF!</f>
        <v>#REF!</v>
      </c>
      <c r="D629" s="98">
        <v>2018</v>
      </c>
      <c r="E629" s="99">
        <f t="shared" si="15"/>
        <v>0</v>
      </c>
      <c r="F629" s="99">
        <v>0</v>
      </c>
      <c r="G629" s="99">
        <v>0</v>
      </c>
      <c r="H629" s="99">
        <v>0</v>
      </c>
      <c r="I629" s="99">
        <v>0</v>
      </c>
      <c r="J629" s="99">
        <v>0</v>
      </c>
      <c r="K629" s="100" t="s">
        <v>160</v>
      </c>
      <c r="L629" s="101" t="s">
        <v>31</v>
      </c>
    </row>
    <row r="630" spans="1:12" ht="29.1" customHeight="1" x14ac:dyDescent="0.25">
      <c r="A630" s="28"/>
      <c r="B630" s="201"/>
      <c r="C630" s="102"/>
      <c r="D630" s="104">
        <v>2019</v>
      </c>
      <c r="E630" s="105">
        <f t="shared" si="15"/>
        <v>0</v>
      </c>
      <c r="F630" s="105">
        <v>0</v>
      </c>
      <c r="G630" s="105">
        <v>0</v>
      </c>
      <c r="H630" s="105">
        <v>0</v>
      </c>
      <c r="I630" s="105">
        <v>0</v>
      </c>
      <c r="J630" s="105">
        <v>0</v>
      </c>
      <c r="K630" s="106"/>
      <c r="L630" s="107"/>
    </row>
    <row r="631" spans="1:12" ht="29.1" customHeight="1" x14ac:dyDescent="0.25">
      <c r="A631" s="28"/>
      <c r="B631" s="201"/>
      <c r="C631" s="102"/>
      <c r="D631" s="108">
        <v>2020</v>
      </c>
      <c r="E631" s="105">
        <f t="shared" si="15"/>
        <v>862.3</v>
      </c>
      <c r="F631" s="122">
        <v>0</v>
      </c>
      <c r="G631" s="105">
        <v>0</v>
      </c>
      <c r="H631" s="105">
        <v>862.3</v>
      </c>
      <c r="I631" s="105">
        <v>0</v>
      </c>
      <c r="J631" s="105">
        <v>0</v>
      </c>
      <c r="K631" s="106"/>
      <c r="L631" s="107"/>
    </row>
    <row r="632" spans="1:12" ht="29.1" customHeight="1" x14ac:dyDescent="0.25">
      <c r="A632" s="28"/>
      <c r="B632" s="201"/>
      <c r="C632" s="102"/>
      <c r="D632" s="108">
        <v>2021</v>
      </c>
      <c r="E632" s="105">
        <f t="shared" si="15"/>
        <v>2321.5</v>
      </c>
      <c r="F632" s="122">
        <v>0</v>
      </c>
      <c r="G632" s="105">
        <v>0</v>
      </c>
      <c r="H632" s="105">
        <v>2321.5</v>
      </c>
      <c r="I632" s="105">
        <v>0</v>
      </c>
      <c r="J632" s="105">
        <v>0</v>
      </c>
      <c r="K632" s="106"/>
      <c r="L632" s="107"/>
    </row>
    <row r="633" spans="1:12" ht="29.1" customHeight="1" x14ac:dyDescent="0.25">
      <c r="A633" s="28"/>
      <c r="B633" s="201"/>
      <c r="C633" s="102"/>
      <c r="D633" s="108">
        <v>2022</v>
      </c>
      <c r="E633" s="105">
        <f t="shared" si="15"/>
        <v>1262.0999999999999</v>
      </c>
      <c r="F633" s="122">
        <v>0</v>
      </c>
      <c r="G633" s="105">
        <v>0</v>
      </c>
      <c r="H633" s="105">
        <v>1262.0999999999999</v>
      </c>
      <c r="I633" s="105">
        <v>0</v>
      </c>
      <c r="J633" s="105">
        <v>0</v>
      </c>
      <c r="K633" s="106"/>
      <c r="L633" s="107"/>
    </row>
    <row r="634" spans="1:12" ht="29.1" customHeight="1" x14ac:dyDescent="0.25">
      <c r="A634" s="28"/>
      <c r="B634" s="201"/>
      <c r="C634" s="102"/>
      <c r="D634" s="108">
        <v>2023</v>
      </c>
      <c r="E634" s="105">
        <f t="shared" si="15"/>
        <v>5936.7000000000007</v>
      </c>
      <c r="F634" s="122">
        <v>0</v>
      </c>
      <c r="G634" s="105">
        <v>0</v>
      </c>
      <c r="H634" s="105">
        <f>1891.4+2567.8+1260.1+69.5+147.9</f>
        <v>5936.7000000000007</v>
      </c>
      <c r="I634" s="105">
        <v>0</v>
      </c>
      <c r="J634" s="105">
        <v>0</v>
      </c>
      <c r="K634" s="106"/>
      <c r="L634" s="107"/>
    </row>
    <row r="635" spans="1:12" ht="29.1" customHeight="1" x14ac:dyDescent="0.25">
      <c r="A635" s="28"/>
      <c r="B635" s="201"/>
      <c r="C635" s="102"/>
      <c r="D635" s="108">
        <v>2024</v>
      </c>
      <c r="E635" s="105">
        <f t="shared" si="15"/>
        <v>2187.4</v>
      </c>
      <c r="F635" s="122">
        <v>0</v>
      </c>
      <c r="G635" s="105">
        <v>0</v>
      </c>
      <c r="H635" s="123">
        <f>712.7+179.1+1295.6</f>
        <v>2187.4</v>
      </c>
      <c r="I635" s="105">
        <v>0</v>
      </c>
      <c r="J635" s="105">
        <v>0</v>
      </c>
      <c r="K635" s="106"/>
      <c r="L635" s="107"/>
    </row>
    <row r="636" spans="1:12" ht="29.1" customHeight="1" x14ac:dyDescent="0.25">
      <c r="A636" s="28"/>
      <c r="B636" s="201"/>
      <c r="C636" s="102"/>
      <c r="D636" s="108">
        <v>2025</v>
      </c>
      <c r="E636" s="105">
        <f t="shared" si="15"/>
        <v>0</v>
      </c>
      <c r="F636" s="122">
        <v>0</v>
      </c>
      <c r="G636" s="105">
        <v>0</v>
      </c>
      <c r="H636" s="123">
        <v>0</v>
      </c>
      <c r="I636" s="105">
        <v>0</v>
      </c>
      <c r="J636" s="105">
        <v>0</v>
      </c>
      <c r="K636" s="106"/>
      <c r="L636" s="107"/>
    </row>
    <row r="637" spans="1:12" ht="29.1" customHeight="1" thickBot="1" x14ac:dyDescent="0.3">
      <c r="A637" s="29"/>
      <c r="B637" s="202"/>
      <c r="C637" s="111"/>
      <c r="D637" s="124">
        <v>2026</v>
      </c>
      <c r="E637" s="113">
        <f t="shared" si="15"/>
        <v>0</v>
      </c>
      <c r="F637" s="125">
        <v>0</v>
      </c>
      <c r="G637" s="113">
        <v>0</v>
      </c>
      <c r="H637" s="126">
        <v>0</v>
      </c>
      <c r="I637" s="113">
        <v>0</v>
      </c>
      <c r="J637" s="113">
        <v>0</v>
      </c>
      <c r="K637" s="114"/>
      <c r="L637" s="115"/>
    </row>
    <row r="638" spans="1:12" ht="29.1" customHeight="1" x14ac:dyDescent="0.25">
      <c r="A638" s="27" t="s">
        <v>161</v>
      </c>
      <c r="B638" s="200" t="s">
        <v>162</v>
      </c>
      <c r="C638" s="96" t="e">
        <f>#REF!+#REF!+#REF!+#REF!+#REF!+#REF!+#REF!+#REF!</f>
        <v>#REF!</v>
      </c>
      <c r="D638" s="98">
        <v>2018</v>
      </c>
      <c r="E638" s="99">
        <f t="shared" si="15"/>
        <v>0</v>
      </c>
      <c r="F638" s="99">
        <v>0</v>
      </c>
      <c r="G638" s="99">
        <v>0</v>
      </c>
      <c r="H638" s="99">
        <v>0</v>
      </c>
      <c r="I638" s="99">
        <v>0</v>
      </c>
      <c r="J638" s="99">
        <v>0</v>
      </c>
      <c r="K638" s="100" t="s">
        <v>163</v>
      </c>
      <c r="L638" s="101" t="s">
        <v>31</v>
      </c>
    </row>
    <row r="639" spans="1:12" ht="29.1" customHeight="1" x14ac:dyDescent="0.25">
      <c r="A639" s="28"/>
      <c r="B639" s="201"/>
      <c r="C639" s="102"/>
      <c r="D639" s="104">
        <v>2019</v>
      </c>
      <c r="E639" s="105">
        <f>F639+G639+H639+J639</f>
        <v>0</v>
      </c>
      <c r="F639" s="105">
        <v>0</v>
      </c>
      <c r="G639" s="105">
        <v>0</v>
      </c>
      <c r="H639" s="105">
        <v>0</v>
      </c>
      <c r="I639" s="105">
        <v>0</v>
      </c>
      <c r="J639" s="105">
        <v>0</v>
      </c>
      <c r="K639" s="106"/>
      <c r="L639" s="107"/>
    </row>
    <row r="640" spans="1:12" ht="29.1" customHeight="1" x14ac:dyDescent="0.25">
      <c r="A640" s="28"/>
      <c r="B640" s="201"/>
      <c r="C640" s="102"/>
      <c r="D640" s="108">
        <v>2020</v>
      </c>
      <c r="E640" s="105">
        <f t="shared" si="15"/>
        <v>0</v>
      </c>
      <c r="F640" s="122">
        <v>0</v>
      </c>
      <c r="G640" s="105">
        <v>0</v>
      </c>
      <c r="H640" s="105">
        <v>0</v>
      </c>
      <c r="I640" s="105">
        <v>0</v>
      </c>
      <c r="J640" s="105">
        <v>0</v>
      </c>
      <c r="K640" s="106"/>
      <c r="L640" s="107"/>
    </row>
    <row r="641" spans="1:12" ht="29.1" customHeight="1" x14ac:dyDescent="0.25">
      <c r="A641" s="28"/>
      <c r="B641" s="201"/>
      <c r="C641" s="102"/>
      <c r="D641" s="108">
        <v>2021</v>
      </c>
      <c r="E641" s="105">
        <f t="shared" si="15"/>
        <v>4189.5</v>
      </c>
      <c r="F641" s="122">
        <v>0</v>
      </c>
      <c r="G641" s="105">
        <v>0</v>
      </c>
      <c r="H641" s="105">
        <v>4189.5</v>
      </c>
      <c r="I641" s="105">
        <v>0</v>
      </c>
      <c r="J641" s="105">
        <v>0</v>
      </c>
      <c r="K641" s="106"/>
      <c r="L641" s="107"/>
    </row>
    <row r="642" spans="1:12" ht="29.1" customHeight="1" x14ac:dyDescent="0.25">
      <c r="A642" s="28"/>
      <c r="B642" s="201"/>
      <c r="C642" s="102"/>
      <c r="D642" s="108">
        <v>2022</v>
      </c>
      <c r="E642" s="105">
        <f t="shared" si="15"/>
        <v>0</v>
      </c>
      <c r="F642" s="122">
        <v>0</v>
      </c>
      <c r="G642" s="105">
        <v>0</v>
      </c>
      <c r="H642" s="105">
        <v>0</v>
      </c>
      <c r="I642" s="105">
        <v>0</v>
      </c>
      <c r="J642" s="105">
        <v>0</v>
      </c>
      <c r="K642" s="106"/>
      <c r="L642" s="107"/>
    </row>
    <row r="643" spans="1:12" ht="29.1" customHeight="1" x14ac:dyDescent="0.25">
      <c r="A643" s="28"/>
      <c r="B643" s="201"/>
      <c r="C643" s="102"/>
      <c r="D643" s="108">
        <v>2023</v>
      </c>
      <c r="E643" s="105">
        <f t="shared" si="15"/>
        <v>0</v>
      </c>
      <c r="F643" s="122">
        <v>0</v>
      </c>
      <c r="G643" s="105">
        <v>0</v>
      </c>
      <c r="H643" s="105">
        <v>0</v>
      </c>
      <c r="I643" s="105">
        <v>0</v>
      </c>
      <c r="J643" s="105">
        <v>0</v>
      </c>
      <c r="K643" s="106"/>
      <c r="L643" s="107"/>
    </row>
    <row r="644" spans="1:12" ht="29.1" customHeight="1" x14ac:dyDescent="0.25">
      <c r="A644" s="28"/>
      <c r="B644" s="201"/>
      <c r="C644" s="102"/>
      <c r="D644" s="108">
        <v>2024</v>
      </c>
      <c r="E644" s="105">
        <f t="shared" si="15"/>
        <v>0</v>
      </c>
      <c r="F644" s="122">
        <v>0</v>
      </c>
      <c r="G644" s="105">
        <v>0</v>
      </c>
      <c r="H644" s="105">
        <v>0</v>
      </c>
      <c r="I644" s="105">
        <v>0</v>
      </c>
      <c r="J644" s="105">
        <v>0</v>
      </c>
      <c r="K644" s="106"/>
      <c r="L644" s="107"/>
    </row>
    <row r="645" spans="1:12" ht="29.1" customHeight="1" x14ac:dyDescent="0.25">
      <c r="A645" s="28"/>
      <c r="B645" s="201"/>
      <c r="C645" s="102"/>
      <c r="D645" s="108">
        <v>2025</v>
      </c>
      <c r="E645" s="105">
        <f t="shared" si="15"/>
        <v>0</v>
      </c>
      <c r="F645" s="122">
        <v>0</v>
      </c>
      <c r="G645" s="105">
        <v>0</v>
      </c>
      <c r="H645" s="105">
        <v>0</v>
      </c>
      <c r="I645" s="105">
        <v>0</v>
      </c>
      <c r="J645" s="105">
        <v>0</v>
      </c>
      <c r="K645" s="106"/>
      <c r="L645" s="107"/>
    </row>
    <row r="646" spans="1:12" ht="29.1" customHeight="1" thickBot="1" x14ac:dyDescent="0.3">
      <c r="A646" s="29"/>
      <c r="B646" s="202"/>
      <c r="C646" s="111"/>
      <c r="D646" s="124">
        <v>2026</v>
      </c>
      <c r="E646" s="113">
        <f t="shared" si="15"/>
        <v>0</v>
      </c>
      <c r="F646" s="125">
        <v>0</v>
      </c>
      <c r="G646" s="113">
        <v>0</v>
      </c>
      <c r="H646" s="113">
        <v>0</v>
      </c>
      <c r="I646" s="113">
        <v>0</v>
      </c>
      <c r="J646" s="113">
        <v>0</v>
      </c>
      <c r="K646" s="114"/>
      <c r="L646" s="115"/>
    </row>
    <row r="647" spans="1:12" ht="29.1" customHeight="1" x14ac:dyDescent="0.25">
      <c r="A647" s="27" t="s">
        <v>164</v>
      </c>
      <c r="B647" s="218" t="s">
        <v>190</v>
      </c>
      <c r="C647" s="96" t="e">
        <f>#REF!+#REF!+#REF!+#REF!+#REF!+#REF!+#REF!+#REF!</f>
        <v>#REF!</v>
      </c>
      <c r="D647" s="98">
        <v>2018</v>
      </c>
      <c r="E647" s="99">
        <f t="shared" si="15"/>
        <v>0</v>
      </c>
      <c r="F647" s="99">
        <v>0</v>
      </c>
      <c r="G647" s="99">
        <v>0</v>
      </c>
      <c r="H647" s="99">
        <v>0</v>
      </c>
      <c r="I647" s="99">
        <v>0</v>
      </c>
      <c r="J647" s="99">
        <v>0</v>
      </c>
      <c r="K647" s="100" t="s">
        <v>179</v>
      </c>
      <c r="L647" s="101" t="s">
        <v>31</v>
      </c>
    </row>
    <row r="648" spans="1:12" ht="29.1" customHeight="1" x14ac:dyDescent="0.25">
      <c r="A648" s="28"/>
      <c r="B648" s="219"/>
      <c r="C648" s="102"/>
      <c r="D648" s="104">
        <v>2019</v>
      </c>
      <c r="E648" s="105">
        <f t="shared" si="15"/>
        <v>0</v>
      </c>
      <c r="F648" s="105">
        <v>0</v>
      </c>
      <c r="G648" s="105">
        <v>0</v>
      </c>
      <c r="H648" s="105">
        <v>0</v>
      </c>
      <c r="I648" s="105">
        <v>0</v>
      </c>
      <c r="J648" s="105">
        <v>0</v>
      </c>
      <c r="K648" s="106"/>
      <c r="L648" s="107"/>
    </row>
    <row r="649" spans="1:12" ht="29.1" customHeight="1" x14ac:dyDescent="0.25">
      <c r="A649" s="28"/>
      <c r="B649" s="219"/>
      <c r="C649" s="102"/>
      <c r="D649" s="108">
        <v>2020</v>
      </c>
      <c r="E649" s="105">
        <f t="shared" si="15"/>
        <v>0</v>
      </c>
      <c r="F649" s="122">
        <v>0</v>
      </c>
      <c r="G649" s="105">
        <v>0</v>
      </c>
      <c r="H649" s="105">
        <v>0</v>
      </c>
      <c r="I649" s="105">
        <v>0</v>
      </c>
      <c r="J649" s="105">
        <v>0</v>
      </c>
      <c r="K649" s="106"/>
      <c r="L649" s="107"/>
    </row>
    <row r="650" spans="1:12" ht="29.1" customHeight="1" x14ac:dyDescent="0.25">
      <c r="A650" s="28"/>
      <c r="B650" s="219"/>
      <c r="C650" s="102"/>
      <c r="D650" s="108">
        <v>2021</v>
      </c>
      <c r="E650" s="105">
        <f t="shared" si="15"/>
        <v>0</v>
      </c>
      <c r="F650" s="122">
        <v>0</v>
      </c>
      <c r="G650" s="105">
        <v>0</v>
      </c>
      <c r="H650" s="105">
        <v>0</v>
      </c>
      <c r="I650" s="105">
        <v>0</v>
      </c>
      <c r="J650" s="105">
        <v>0</v>
      </c>
      <c r="K650" s="106"/>
      <c r="L650" s="107"/>
    </row>
    <row r="651" spans="1:12" ht="29.1" customHeight="1" x14ac:dyDescent="0.25">
      <c r="A651" s="28"/>
      <c r="B651" s="219"/>
      <c r="C651" s="102"/>
      <c r="D651" s="108">
        <v>2022</v>
      </c>
      <c r="E651" s="105">
        <f t="shared" si="15"/>
        <v>2671.6</v>
      </c>
      <c r="F651" s="122">
        <v>0</v>
      </c>
      <c r="G651" s="105">
        <v>0</v>
      </c>
      <c r="H651" s="105">
        <f>3127.6-350-36-70</f>
        <v>2671.6</v>
      </c>
      <c r="I651" s="105">
        <v>0</v>
      </c>
      <c r="J651" s="105">
        <v>0</v>
      </c>
      <c r="K651" s="106"/>
      <c r="L651" s="107"/>
    </row>
    <row r="652" spans="1:12" ht="29.1" customHeight="1" x14ac:dyDescent="0.25">
      <c r="A652" s="28"/>
      <c r="B652" s="220"/>
      <c r="C652" s="102"/>
      <c r="D652" s="108">
        <v>2023</v>
      </c>
      <c r="E652" s="105">
        <f t="shared" si="15"/>
        <v>3014.1000000000004</v>
      </c>
      <c r="F652" s="122">
        <v>0</v>
      </c>
      <c r="G652" s="105">
        <v>0</v>
      </c>
      <c r="H652" s="105">
        <f>2000+75.8+693.3+245</f>
        <v>3014.1000000000004</v>
      </c>
      <c r="I652" s="105">
        <v>0</v>
      </c>
      <c r="J652" s="105">
        <v>0</v>
      </c>
      <c r="K652" s="106"/>
      <c r="L652" s="107"/>
    </row>
    <row r="653" spans="1:12" ht="29.1" customHeight="1" x14ac:dyDescent="0.25">
      <c r="A653" s="28"/>
      <c r="B653" s="221" t="s">
        <v>333</v>
      </c>
      <c r="C653" s="102"/>
      <c r="D653" s="108">
        <v>2024</v>
      </c>
      <c r="E653" s="105">
        <f t="shared" si="15"/>
        <v>2981</v>
      </c>
      <c r="F653" s="122">
        <v>0</v>
      </c>
      <c r="G653" s="105">
        <v>0</v>
      </c>
      <c r="H653" s="123">
        <f>2957.7+23.3</f>
        <v>2981</v>
      </c>
      <c r="I653" s="105">
        <v>0</v>
      </c>
      <c r="J653" s="105">
        <v>0</v>
      </c>
      <c r="K653" s="106"/>
      <c r="L653" s="107"/>
    </row>
    <row r="654" spans="1:12" ht="29.1" customHeight="1" x14ac:dyDescent="0.25">
      <c r="A654" s="28"/>
      <c r="B654" s="219"/>
      <c r="C654" s="102"/>
      <c r="D654" s="108">
        <v>2025</v>
      </c>
      <c r="E654" s="105">
        <f t="shared" si="15"/>
        <v>2143.9</v>
      </c>
      <c r="F654" s="122">
        <v>0</v>
      </c>
      <c r="G654" s="105">
        <v>0</v>
      </c>
      <c r="H654" s="123">
        <f>2143.9</f>
        <v>2143.9</v>
      </c>
      <c r="I654" s="105">
        <v>0</v>
      </c>
      <c r="J654" s="105">
        <v>0</v>
      </c>
      <c r="K654" s="106"/>
      <c r="L654" s="107"/>
    </row>
    <row r="655" spans="1:12" ht="28.5" customHeight="1" thickBot="1" x14ac:dyDescent="0.3">
      <c r="A655" s="29"/>
      <c r="B655" s="222"/>
      <c r="C655" s="111"/>
      <c r="D655" s="124">
        <v>2026</v>
      </c>
      <c r="E655" s="113">
        <f t="shared" si="15"/>
        <v>2143.9</v>
      </c>
      <c r="F655" s="125">
        <v>0</v>
      </c>
      <c r="G655" s="113">
        <v>0</v>
      </c>
      <c r="H655" s="126">
        <f>2143.9</f>
        <v>2143.9</v>
      </c>
      <c r="I655" s="113">
        <v>0</v>
      </c>
      <c r="J655" s="113">
        <v>0</v>
      </c>
      <c r="K655" s="114"/>
      <c r="L655" s="115"/>
    </row>
    <row r="656" spans="1:12" ht="21" customHeight="1" x14ac:dyDescent="0.25">
      <c r="A656" s="27" t="s">
        <v>165</v>
      </c>
      <c r="B656" s="200" t="s">
        <v>166</v>
      </c>
      <c r="C656" s="96" t="e">
        <f>#REF!+#REF!+#REF!+#REF!+#REF!+#REF!+#REF!+#REF!</f>
        <v>#REF!</v>
      </c>
      <c r="D656" s="98">
        <v>2018</v>
      </c>
      <c r="E656" s="99">
        <f t="shared" si="15"/>
        <v>0</v>
      </c>
      <c r="F656" s="99">
        <v>0</v>
      </c>
      <c r="G656" s="99">
        <v>0</v>
      </c>
      <c r="H656" s="99">
        <v>0</v>
      </c>
      <c r="I656" s="99">
        <v>0</v>
      </c>
      <c r="J656" s="99">
        <v>0</v>
      </c>
      <c r="K656" s="100" t="s">
        <v>186</v>
      </c>
      <c r="L656" s="101" t="s">
        <v>31</v>
      </c>
    </row>
    <row r="657" spans="1:12" ht="21" customHeight="1" x14ac:dyDescent="0.25">
      <c r="A657" s="28"/>
      <c r="B657" s="201"/>
      <c r="C657" s="102"/>
      <c r="D657" s="104">
        <v>2019</v>
      </c>
      <c r="E657" s="105">
        <f t="shared" si="15"/>
        <v>0</v>
      </c>
      <c r="F657" s="105">
        <v>0</v>
      </c>
      <c r="G657" s="105">
        <v>0</v>
      </c>
      <c r="H657" s="105">
        <v>0</v>
      </c>
      <c r="I657" s="105">
        <v>0</v>
      </c>
      <c r="J657" s="105">
        <v>0</v>
      </c>
      <c r="K657" s="106"/>
      <c r="L657" s="107"/>
    </row>
    <row r="658" spans="1:12" ht="21" customHeight="1" x14ac:dyDescent="0.25">
      <c r="A658" s="28"/>
      <c r="B658" s="201"/>
      <c r="C658" s="102"/>
      <c r="D658" s="108">
        <v>2020</v>
      </c>
      <c r="E658" s="105">
        <f t="shared" si="15"/>
        <v>0</v>
      </c>
      <c r="F658" s="122">
        <v>0</v>
      </c>
      <c r="G658" s="105">
        <v>0</v>
      </c>
      <c r="H658" s="105">
        <v>0</v>
      </c>
      <c r="I658" s="105">
        <v>0</v>
      </c>
      <c r="J658" s="105">
        <v>0</v>
      </c>
      <c r="K658" s="106"/>
      <c r="L658" s="107"/>
    </row>
    <row r="659" spans="1:12" ht="21" customHeight="1" x14ac:dyDescent="0.25">
      <c r="A659" s="28"/>
      <c r="B659" s="201"/>
      <c r="C659" s="102"/>
      <c r="D659" s="108">
        <v>2021</v>
      </c>
      <c r="E659" s="105">
        <f t="shared" si="15"/>
        <v>0</v>
      </c>
      <c r="F659" s="122">
        <v>0</v>
      </c>
      <c r="G659" s="105">
        <v>0</v>
      </c>
      <c r="H659" s="105">
        <v>0</v>
      </c>
      <c r="I659" s="105">
        <v>0</v>
      </c>
      <c r="J659" s="105">
        <v>0</v>
      </c>
      <c r="K659" s="106"/>
      <c r="L659" s="107"/>
    </row>
    <row r="660" spans="1:12" ht="21" customHeight="1" x14ac:dyDescent="0.25">
      <c r="A660" s="28"/>
      <c r="B660" s="201"/>
      <c r="C660" s="102"/>
      <c r="D660" s="108">
        <v>2022</v>
      </c>
      <c r="E660" s="105">
        <f t="shared" si="15"/>
        <v>75.799999999999955</v>
      </c>
      <c r="F660" s="122">
        <v>0</v>
      </c>
      <c r="G660" s="105">
        <v>0</v>
      </c>
      <c r="H660" s="105">
        <f>1238.8-1163</f>
        <v>75.799999999999955</v>
      </c>
      <c r="I660" s="105">
        <v>0</v>
      </c>
      <c r="J660" s="105">
        <v>0</v>
      </c>
      <c r="K660" s="106"/>
      <c r="L660" s="107"/>
    </row>
    <row r="661" spans="1:12" ht="21" customHeight="1" x14ac:dyDescent="0.25">
      <c r="A661" s="28"/>
      <c r="B661" s="201"/>
      <c r="C661" s="102"/>
      <c r="D661" s="108">
        <v>2023</v>
      </c>
      <c r="E661" s="105">
        <f>F661+G661+H661+J661</f>
        <v>86.5</v>
      </c>
      <c r="F661" s="122">
        <v>0</v>
      </c>
      <c r="G661" s="105">
        <v>0</v>
      </c>
      <c r="H661" s="105">
        <f>49.3+10+5+22.2</f>
        <v>86.5</v>
      </c>
      <c r="I661" s="105">
        <v>0</v>
      </c>
      <c r="J661" s="105">
        <v>0</v>
      </c>
      <c r="K661" s="106"/>
      <c r="L661" s="107"/>
    </row>
    <row r="662" spans="1:12" ht="21" customHeight="1" x14ac:dyDescent="0.25">
      <c r="A662" s="28"/>
      <c r="B662" s="201"/>
      <c r="C662" s="102"/>
      <c r="D662" s="108">
        <v>2024</v>
      </c>
      <c r="E662" s="105">
        <f t="shared" si="15"/>
        <v>114.2</v>
      </c>
      <c r="F662" s="122">
        <v>0</v>
      </c>
      <c r="G662" s="105">
        <v>0</v>
      </c>
      <c r="H662" s="123">
        <f>58.7+55.5</f>
        <v>114.2</v>
      </c>
      <c r="I662" s="105">
        <v>0</v>
      </c>
      <c r="J662" s="105">
        <v>0</v>
      </c>
      <c r="K662" s="106"/>
      <c r="L662" s="107"/>
    </row>
    <row r="663" spans="1:12" ht="21" customHeight="1" x14ac:dyDescent="0.25">
      <c r="A663" s="28"/>
      <c r="B663" s="201"/>
      <c r="C663" s="102"/>
      <c r="D663" s="108">
        <v>2025</v>
      </c>
      <c r="E663" s="105">
        <f t="shared" si="15"/>
        <v>40.700000000000003</v>
      </c>
      <c r="F663" s="122">
        <v>0</v>
      </c>
      <c r="G663" s="105">
        <v>0</v>
      </c>
      <c r="H663" s="123">
        <v>40.700000000000003</v>
      </c>
      <c r="I663" s="105">
        <v>0</v>
      </c>
      <c r="J663" s="105">
        <v>0</v>
      </c>
      <c r="K663" s="106"/>
      <c r="L663" s="107"/>
    </row>
    <row r="664" spans="1:12" ht="21" customHeight="1" thickBot="1" x14ac:dyDescent="0.3">
      <c r="A664" s="29"/>
      <c r="B664" s="202"/>
      <c r="C664" s="111"/>
      <c r="D664" s="124">
        <v>2026</v>
      </c>
      <c r="E664" s="113">
        <f t="shared" si="15"/>
        <v>40.700000000000003</v>
      </c>
      <c r="F664" s="125">
        <v>0</v>
      </c>
      <c r="G664" s="113">
        <v>0</v>
      </c>
      <c r="H664" s="126">
        <v>40.700000000000003</v>
      </c>
      <c r="I664" s="113">
        <v>0</v>
      </c>
      <c r="J664" s="113">
        <v>0</v>
      </c>
      <c r="K664" s="114"/>
      <c r="L664" s="115"/>
    </row>
    <row r="665" spans="1:12" ht="21" customHeight="1" x14ac:dyDescent="0.25">
      <c r="A665" s="27" t="s">
        <v>206</v>
      </c>
      <c r="B665" s="200" t="s">
        <v>320</v>
      </c>
      <c r="C665" s="96" t="e">
        <f>#REF!+#REF!+#REF!+#REF!+#REF!+#REF!+#REF!+#REF!</f>
        <v>#REF!</v>
      </c>
      <c r="D665" s="98">
        <v>2018</v>
      </c>
      <c r="E665" s="99">
        <f t="shared" si="15"/>
        <v>0</v>
      </c>
      <c r="F665" s="99">
        <v>0</v>
      </c>
      <c r="G665" s="99">
        <v>0</v>
      </c>
      <c r="H665" s="99">
        <v>0</v>
      </c>
      <c r="I665" s="99">
        <v>0</v>
      </c>
      <c r="J665" s="99">
        <v>0</v>
      </c>
      <c r="K665" s="100" t="s">
        <v>344</v>
      </c>
      <c r="L665" s="101" t="s">
        <v>31</v>
      </c>
    </row>
    <row r="666" spans="1:12" ht="21" customHeight="1" x14ac:dyDescent="0.25">
      <c r="A666" s="28"/>
      <c r="B666" s="201"/>
      <c r="C666" s="102"/>
      <c r="D666" s="104">
        <v>2019</v>
      </c>
      <c r="E666" s="105">
        <f t="shared" si="15"/>
        <v>0</v>
      </c>
      <c r="F666" s="105">
        <v>0</v>
      </c>
      <c r="G666" s="105">
        <v>0</v>
      </c>
      <c r="H666" s="105">
        <v>0</v>
      </c>
      <c r="I666" s="105">
        <v>0</v>
      </c>
      <c r="J666" s="105">
        <v>0</v>
      </c>
      <c r="K666" s="106"/>
      <c r="L666" s="107"/>
    </row>
    <row r="667" spans="1:12" ht="21" customHeight="1" x14ac:dyDescent="0.25">
      <c r="A667" s="28"/>
      <c r="B667" s="201"/>
      <c r="C667" s="102"/>
      <c r="D667" s="108">
        <v>2020</v>
      </c>
      <c r="E667" s="105">
        <f t="shared" si="15"/>
        <v>0</v>
      </c>
      <c r="F667" s="122">
        <v>0</v>
      </c>
      <c r="G667" s="105">
        <v>0</v>
      </c>
      <c r="H667" s="105">
        <v>0</v>
      </c>
      <c r="I667" s="105">
        <v>0</v>
      </c>
      <c r="J667" s="105">
        <v>0</v>
      </c>
      <c r="K667" s="106"/>
      <c r="L667" s="107"/>
    </row>
    <row r="668" spans="1:12" ht="21" customHeight="1" x14ac:dyDescent="0.25">
      <c r="A668" s="28"/>
      <c r="B668" s="201"/>
      <c r="C668" s="102"/>
      <c r="D668" s="108">
        <v>2021</v>
      </c>
      <c r="E668" s="105">
        <f t="shared" si="15"/>
        <v>0</v>
      </c>
      <c r="F668" s="122">
        <v>0</v>
      </c>
      <c r="G668" s="105">
        <v>0</v>
      </c>
      <c r="H668" s="105">
        <v>0</v>
      </c>
      <c r="I668" s="105">
        <v>0</v>
      </c>
      <c r="J668" s="105">
        <v>0</v>
      </c>
      <c r="K668" s="106"/>
      <c r="L668" s="107"/>
    </row>
    <row r="669" spans="1:12" ht="21" customHeight="1" x14ac:dyDescent="0.25">
      <c r="A669" s="28"/>
      <c r="B669" s="201"/>
      <c r="C669" s="102"/>
      <c r="D669" s="108">
        <v>2022</v>
      </c>
      <c r="E669" s="105">
        <f t="shared" si="15"/>
        <v>1081.7</v>
      </c>
      <c r="F669" s="122">
        <v>0</v>
      </c>
      <c r="G669" s="105">
        <f>1473.2+308.5-700</f>
        <v>1081.7</v>
      </c>
      <c r="H669" s="105">
        <v>0</v>
      </c>
      <c r="I669" s="105">
        <v>0</v>
      </c>
      <c r="J669" s="105">
        <v>0</v>
      </c>
      <c r="K669" s="106"/>
      <c r="L669" s="107"/>
    </row>
    <row r="670" spans="1:12" ht="21" customHeight="1" x14ac:dyDescent="0.25">
      <c r="A670" s="28"/>
      <c r="B670" s="201"/>
      <c r="C670" s="102"/>
      <c r="D670" s="108">
        <v>2023</v>
      </c>
      <c r="E670" s="105">
        <f t="shared" si="15"/>
        <v>1971.3999999999999</v>
      </c>
      <c r="F670" s="122">
        <v>0</v>
      </c>
      <c r="G670" s="105">
        <f>1594.1+377.3</f>
        <v>1971.3999999999999</v>
      </c>
      <c r="H670" s="105">
        <v>0</v>
      </c>
      <c r="I670" s="105">
        <v>0</v>
      </c>
      <c r="J670" s="105">
        <v>0</v>
      </c>
      <c r="K670" s="106"/>
      <c r="L670" s="107"/>
    </row>
    <row r="671" spans="1:12" ht="21" customHeight="1" x14ac:dyDescent="0.25">
      <c r="A671" s="28"/>
      <c r="B671" s="201"/>
      <c r="C671" s="102"/>
      <c r="D671" s="108">
        <v>2024</v>
      </c>
      <c r="E671" s="105">
        <f t="shared" si="15"/>
        <v>2320.6999999999998</v>
      </c>
      <c r="F671" s="122">
        <v>0</v>
      </c>
      <c r="G671" s="105">
        <f>1801.6+519.1</f>
        <v>2320.6999999999998</v>
      </c>
      <c r="H671" s="105">
        <v>0</v>
      </c>
      <c r="I671" s="105">
        <v>0</v>
      </c>
      <c r="J671" s="105">
        <v>0</v>
      </c>
      <c r="K671" s="106"/>
      <c r="L671" s="107"/>
    </row>
    <row r="672" spans="1:12" ht="21" customHeight="1" x14ac:dyDescent="0.25">
      <c r="A672" s="28"/>
      <c r="B672" s="201"/>
      <c r="C672" s="102"/>
      <c r="D672" s="108">
        <v>2025</v>
      </c>
      <c r="E672" s="105">
        <f t="shared" si="15"/>
        <v>2163</v>
      </c>
      <c r="F672" s="122">
        <v>0</v>
      </c>
      <c r="G672" s="105">
        <v>2163</v>
      </c>
      <c r="H672" s="105">
        <v>0</v>
      </c>
      <c r="I672" s="105">
        <v>0</v>
      </c>
      <c r="J672" s="105">
        <v>0</v>
      </c>
      <c r="K672" s="106"/>
      <c r="L672" s="107"/>
    </row>
    <row r="673" spans="1:13" ht="21" customHeight="1" thickBot="1" x14ac:dyDescent="0.3">
      <c r="A673" s="29"/>
      <c r="B673" s="202"/>
      <c r="C673" s="111"/>
      <c r="D673" s="124">
        <v>2026</v>
      </c>
      <c r="E673" s="113">
        <f t="shared" si="15"/>
        <v>2426.3000000000002</v>
      </c>
      <c r="F673" s="125"/>
      <c r="G673" s="113">
        <v>2426.3000000000002</v>
      </c>
      <c r="H673" s="113"/>
      <c r="I673" s="113"/>
      <c r="J673" s="113"/>
      <c r="K673" s="114"/>
      <c r="L673" s="115"/>
    </row>
    <row r="674" spans="1:13" ht="21.95" customHeight="1" x14ac:dyDescent="0.25">
      <c r="A674" s="27" t="s">
        <v>209</v>
      </c>
      <c r="B674" s="218" t="s">
        <v>167</v>
      </c>
      <c r="C674" s="96" t="e">
        <f>#REF!+#REF!+#REF!+#REF!+#REF!+#REF!+#REF!+#REF!</f>
        <v>#REF!</v>
      </c>
      <c r="D674" s="98">
        <v>2018</v>
      </c>
      <c r="E674" s="99">
        <f t="shared" si="15"/>
        <v>0</v>
      </c>
      <c r="F674" s="99">
        <v>0</v>
      </c>
      <c r="G674" s="99">
        <v>0</v>
      </c>
      <c r="H674" s="99">
        <v>0</v>
      </c>
      <c r="I674" s="99"/>
      <c r="J674" s="99">
        <v>0</v>
      </c>
      <c r="K674" s="100" t="s">
        <v>345</v>
      </c>
      <c r="L674" s="101" t="s">
        <v>31</v>
      </c>
    </row>
    <row r="675" spans="1:13" ht="21.95" customHeight="1" x14ac:dyDescent="0.25">
      <c r="A675" s="28"/>
      <c r="B675" s="219"/>
      <c r="C675" s="102"/>
      <c r="D675" s="104">
        <v>2019</v>
      </c>
      <c r="E675" s="105">
        <f t="shared" si="15"/>
        <v>0</v>
      </c>
      <c r="F675" s="105">
        <v>0</v>
      </c>
      <c r="G675" s="105">
        <v>0</v>
      </c>
      <c r="H675" s="105">
        <v>0</v>
      </c>
      <c r="I675" s="105">
        <v>0</v>
      </c>
      <c r="J675" s="105">
        <v>0</v>
      </c>
      <c r="K675" s="106"/>
      <c r="L675" s="107"/>
    </row>
    <row r="676" spans="1:13" ht="21.95" customHeight="1" x14ac:dyDescent="0.25">
      <c r="A676" s="28"/>
      <c r="B676" s="219"/>
      <c r="C676" s="102"/>
      <c r="D676" s="108">
        <v>2020</v>
      </c>
      <c r="E676" s="105">
        <f t="shared" si="15"/>
        <v>0</v>
      </c>
      <c r="F676" s="122">
        <v>0</v>
      </c>
      <c r="G676" s="105">
        <v>0</v>
      </c>
      <c r="H676" s="105">
        <v>0</v>
      </c>
      <c r="I676" s="105">
        <v>0</v>
      </c>
      <c r="J676" s="105">
        <v>0</v>
      </c>
      <c r="K676" s="106"/>
      <c r="L676" s="107"/>
    </row>
    <row r="677" spans="1:13" ht="21.95" customHeight="1" x14ac:dyDescent="0.25">
      <c r="A677" s="28"/>
      <c r="B677" s="219"/>
      <c r="C677" s="102"/>
      <c r="D677" s="108">
        <v>2021</v>
      </c>
      <c r="E677" s="105">
        <f t="shared" si="15"/>
        <v>0</v>
      </c>
      <c r="F677" s="122">
        <v>0</v>
      </c>
      <c r="G677" s="105">
        <v>0</v>
      </c>
      <c r="H677" s="105">
        <v>0</v>
      </c>
      <c r="I677" s="105">
        <v>0</v>
      </c>
      <c r="J677" s="105">
        <v>0</v>
      </c>
      <c r="K677" s="106"/>
      <c r="L677" s="107"/>
    </row>
    <row r="678" spans="1:13" ht="21.95" customHeight="1" x14ac:dyDescent="0.25">
      <c r="A678" s="28"/>
      <c r="B678" s="219"/>
      <c r="C678" s="102"/>
      <c r="D678" s="108">
        <v>2022</v>
      </c>
      <c r="E678" s="105">
        <f>F678+G678+H678+J678</f>
        <v>12593.2</v>
      </c>
      <c r="F678" s="122">
        <v>0</v>
      </c>
      <c r="G678" s="105">
        <v>7555.9</v>
      </c>
      <c r="H678" s="105">
        <v>5037.3</v>
      </c>
      <c r="I678" s="105">
        <v>5037.3</v>
      </c>
      <c r="J678" s="105">
        <v>0</v>
      </c>
      <c r="K678" s="106"/>
      <c r="L678" s="107"/>
    </row>
    <row r="679" spans="1:13" ht="21.95" customHeight="1" x14ac:dyDescent="0.25">
      <c r="A679" s="28"/>
      <c r="B679" s="220"/>
      <c r="C679" s="102"/>
      <c r="D679" s="108">
        <v>2023</v>
      </c>
      <c r="E679" s="105">
        <f t="shared" si="15"/>
        <v>16906.7</v>
      </c>
      <c r="F679" s="122">
        <v>0</v>
      </c>
      <c r="G679" s="105">
        <v>10144</v>
      </c>
      <c r="H679" s="105">
        <f>I679</f>
        <v>6762.7</v>
      </c>
      <c r="I679" s="105">
        <f>5051.9+1710.8</f>
        <v>6762.7</v>
      </c>
      <c r="J679" s="105">
        <v>0</v>
      </c>
      <c r="K679" s="106"/>
      <c r="L679" s="107"/>
      <c r="M679" s="223"/>
    </row>
    <row r="680" spans="1:13" ht="36" customHeight="1" x14ac:dyDescent="0.25">
      <c r="A680" s="28"/>
      <c r="B680" s="221" t="s">
        <v>331</v>
      </c>
      <c r="C680" s="102"/>
      <c r="D680" s="108">
        <v>2024</v>
      </c>
      <c r="E680" s="105">
        <f t="shared" si="15"/>
        <v>21687.5</v>
      </c>
      <c r="F680" s="122">
        <v>0</v>
      </c>
      <c r="G680" s="123">
        <f>8106+4906.5</f>
        <v>13012.5</v>
      </c>
      <c r="H680" s="123">
        <f>I680</f>
        <v>8675</v>
      </c>
      <c r="I680" s="123">
        <f>5404+3271</f>
        <v>8675</v>
      </c>
      <c r="J680" s="105">
        <v>0</v>
      </c>
      <c r="K680" s="106"/>
      <c r="L680" s="107"/>
    </row>
    <row r="681" spans="1:13" ht="36" customHeight="1" x14ac:dyDescent="0.25">
      <c r="A681" s="28"/>
      <c r="B681" s="219"/>
      <c r="C681" s="102"/>
      <c r="D681" s="108">
        <v>2025</v>
      </c>
      <c r="E681" s="105">
        <f t="shared" si="15"/>
        <v>14407.900000000001</v>
      </c>
      <c r="F681" s="122">
        <v>0</v>
      </c>
      <c r="G681" s="123">
        <v>8644.7000000000007</v>
      </c>
      <c r="H681" s="123">
        <f>I681</f>
        <v>5763.2</v>
      </c>
      <c r="I681" s="123">
        <f>5763.2</f>
        <v>5763.2</v>
      </c>
      <c r="J681" s="105">
        <v>0</v>
      </c>
      <c r="K681" s="106"/>
      <c r="L681" s="107"/>
    </row>
    <row r="682" spans="1:13" ht="36" customHeight="1" thickBot="1" x14ac:dyDescent="0.3">
      <c r="A682" s="29"/>
      <c r="B682" s="222"/>
      <c r="C682" s="111"/>
      <c r="D682" s="196">
        <v>2026</v>
      </c>
      <c r="E682" s="113">
        <f t="shared" si="15"/>
        <v>15271.7</v>
      </c>
      <c r="F682" s="125">
        <v>0</v>
      </c>
      <c r="G682" s="126">
        <v>9163</v>
      </c>
      <c r="H682" s="126">
        <f>I682</f>
        <v>6108.7</v>
      </c>
      <c r="I682" s="126">
        <v>6108.7</v>
      </c>
      <c r="J682" s="113">
        <v>0</v>
      </c>
      <c r="K682" s="114"/>
      <c r="L682" s="115"/>
    </row>
    <row r="683" spans="1:13" ht="21" customHeight="1" x14ac:dyDescent="0.25">
      <c r="A683" s="27" t="s">
        <v>210</v>
      </c>
      <c r="B683" s="179" t="s">
        <v>202</v>
      </c>
      <c r="C683" s="97"/>
      <c r="D683" s="224">
        <v>2018</v>
      </c>
      <c r="E683" s="99">
        <f t="shared" ref="E683:E686" si="16">F683+G683+H683+J683</f>
        <v>0</v>
      </c>
      <c r="F683" s="225">
        <v>0</v>
      </c>
      <c r="G683" s="99">
        <v>0</v>
      </c>
      <c r="H683" s="225">
        <v>0</v>
      </c>
      <c r="I683" s="99">
        <v>0</v>
      </c>
      <c r="J683" s="225">
        <v>0</v>
      </c>
      <c r="K683" s="100" t="s">
        <v>188</v>
      </c>
      <c r="L683" s="101" t="s">
        <v>31</v>
      </c>
    </row>
    <row r="684" spans="1:13" ht="21" customHeight="1" x14ac:dyDescent="0.25">
      <c r="A684" s="28"/>
      <c r="B684" s="180"/>
      <c r="C684" s="103"/>
      <c r="D684" s="108">
        <v>2019</v>
      </c>
      <c r="E684" s="105">
        <f t="shared" si="16"/>
        <v>0</v>
      </c>
      <c r="F684" s="122">
        <v>0</v>
      </c>
      <c r="G684" s="105">
        <v>0</v>
      </c>
      <c r="H684" s="122">
        <v>0</v>
      </c>
      <c r="I684" s="105">
        <v>0</v>
      </c>
      <c r="J684" s="122">
        <v>0</v>
      </c>
      <c r="K684" s="106"/>
      <c r="L684" s="107"/>
    </row>
    <row r="685" spans="1:13" ht="21" customHeight="1" x14ac:dyDescent="0.25">
      <c r="A685" s="28"/>
      <c r="B685" s="180"/>
      <c r="C685" s="103"/>
      <c r="D685" s="108">
        <v>2020</v>
      </c>
      <c r="E685" s="105">
        <f t="shared" si="16"/>
        <v>0</v>
      </c>
      <c r="F685" s="122">
        <v>0</v>
      </c>
      <c r="G685" s="105">
        <v>0</v>
      </c>
      <c r="H685" s="122">
        <v>0</v>
      </c>
      <c r="I685" s="105">
        <v>0</v>
      </c>
      <c r="J685" s="122">
        <v>0</v>
      </c>
      <c r="K685" s="106"/>
      <c r="L685" s="107"/>
    </row>
    <row r="686" spans="1:13" ht="21" customHeight="1" x14ac:dyDescent="0.25">
      <c r="A686" s="28"/>
      <c r="B686" s="180"/>
      <c r="C686" s="103"/>
      <c r="D686" s="108">
        <v>2021</v>
      </c>
      <c r="E686" s="105">
        <f t="shared" si="16"/>
        <v>0</v>
      </c>
      <c r="F686" s="122">
        <v>0</v>
      </c>
      <c r="G686" s="105">
        <v>0</v>
      </c>
      <c r="H686" s="122">
        <v>0</v>
      </c>
      <c r="I686" s="105">
        <v>0</v>
      </c>
      <c r="J686" s="122">
        <v>0</v>
      </c>
      <c r="K686" s="106"/>
      <c r="L686" s="107"/>
    </row>
    <row r="687" spans="1:13" ht="21" customHeight="1" x14ac:dyDescent="0.25">
      <c r="A687" s="28"/>
      <c r="B687" s="180"/>
      <c r="C687" s="103"/>
      <c r="D687" s="108">
        <v>2022</v>
      </c>
      <c r="E687" s="105">
        <f>F687+G687+H687+J687</f>
        <v>2155.6</v>
      </c>
      <c r="F687" s="122">
        <v>0</v>
      </c>
      <c r="G687" s="105">
        <v>2155.6</v>
      </c>
      <c r="H687" s="122">
        <v>0</v>
      </c>
      <c r="I687" s="105">
        <v>0</v>
      </c>
      <c r="J687" s="122">
        <v>0</v>
      </c>
      <c r="K687" s="106"/>
      <c r="L687" s="107"/>
    </row>
    <row r="688" spans="1:13" ht="21" customHeight="1" x14ac:dyDescent="0.25">
      <c r="A688" s="28"/>
      <c r="B688" s="180"/>
      <c r="C688" s="103"/>
      <c r="D688" s="108">
        <v>2023</v>
      </c>
      <c r="E688" s="105">
        <f t="shared" ref="E688:E695" si="17">F688+G688+H688+J688</f>
        <v>6822.5</v>
      </c>
      <c r="F688" s="122">
        <v>0</v>
      </c>
      <c r="G688" s="105">
        <f>6509.2+313.3</f>
        <v>6822.5</v>
      </c>
      <c r="H688" s="122">
        <v>0</v>
      </c>
      <c r="I688" s="105">
        <v>0</v>
      </c>
      <c r="J688" s="122">
        <v>0</v>
      </c>
      <c r="K688" s="106"/>
      <c r="L688" s="107"/>
    </row>
    <row r="689" spans="1:12" ht="21" customHeight="1" x14ac:dyDescent="0.25">
      <c r="A689" s="28"/>
      <c r="B689" s="180"/>
      <c r="C689" s="103"/>
      <c r="D689" s="108">
        <v>2024</v>
      </c>
      <c r="E689" s="105">
        <f t="shared" si="17"/>
        <v>6727.1</v>
      </c>
      <c r="F689" s="122">
        <v>0</v>
      </c>
      <c r="G689" s="105">
        <f>6166.5+560.6</f>
        <v>6727.1</v>
      </c>
      <c r="H689" s="122">
        <v>0</v>
      </c>
      <c r="I689" s="105">
        <v>0</v>
      </c>
      <c r="J689" s="122">
        <v>0</v>
      </c>
      <c r="K689" s="106"/>
      <c r="L689" s="107"/>
    </row>
    <row r="690" spans="1:12" ht="21" customHeight="1" x14ac:dyDescent="0.25">
      <c r="A690" s="28"/>
      <c r="B690" s="180"/>
      <c r="C690" s="103"/>
      <c r="D690" s="108">
        <v>2025</v>
      </c>
      <c r="E690" s="105">
        <f t="shared" si="17"/>
        <v>6727.1</v>
      </c>
      <c r="F690" s="122">
        <v>0</v>
      </c>
      <c r="G690" s="105">
        <v>6727.1</v>
      </c>
      <c r="H690" s="122">
        <v>0</v>
      </c>
      <c r="I690" s="105">
        <v>0</v>
      </c>
      <c r="J690" s="122">
        <v>0</v>
      </c>
      <c r="K690" s="106"/>
      <c r="L690" s="107"/>
    </row>
    <row r="691" spans="1:12" ht="21" customHeight="1" thickBot="1" x14ac:dyDescent="0.3">
      <c r="A691" s="29"/>
      <c r="B691" s="193"/>
      <c r="C691" s="111"/>
      <c r="D691" s="124">
        <v>2026</v>
      </c>
      <c r="E691" s="113">
        <f t="shared" si="17"/>
        <v>8131.8</v>
      </c>
      <c r="F691" s="125">
        <v>0</v>
      </c>
      <c r="G691" s="113">
        <v>8131.8</v>
      </c>
      <c r="H691" s="125">
        <v>0</v>
      </c>
      <c r="I691" s="113">
        <v>0</v>
      </c>
      <c r="J691" s="125">
        <v>0</v>
      </c>
      <c r="K691" s="114"/>
      <c r="L691" s="115"/>
    </row>
    <row r="692" spans="1:12" ht="30" customHeight="1" x14ac:dyDescent="0.25">
      <c r="A692" s="27" t="s">
        <v>211</v>
      </c>
      <c r="B692" s="226" t="s">
        <v>204</v>
      </c>
      <c r="C692" s="97"/>
      <c r="D692" s="224">
        <v>2018</v>
      </c>
      <c r="E692" s="99">
        <f t="shared" si="17"/>
        <v>0</v>
      </c>
      <c r="F692" s="225">
        <v>0</v>
      </c>
      <c r="G692" s="99">
        <v>0</v>
      </c>
      <c r="H692" s="225">
        <v>0</v>
      </c>
      <c r="I692" s="99">
        <v>0</v>
      </c>
      <c r="J692" s="225">
        <v>0</v>
      </c>
      <c r="K692" s="100" t="s">
        <v>201</v>
      </c>
      <c r="L692" s="101" t="s">
        <v>31</v>
      </c>
    </row>
    <row r="693" spans="1:12" ht="30" customHeight="1" x14ac:dyDescent="0.25">
      <c r="A693" s="28"/>
      <c r="B693" s="227"/>
      <c r="C693" s="103"/>
      <c r="D693" s="108">
        <v>2019</v>
      </c>
      <c r="E693" s="105">
        <f t="shared" si="17"/>
        <v>0</v>
      </c>
      <c r="F693" s="122">
        <v>0</v>
      </c>
      <c r="G693" s="105">
        <v>0</v>
      </c>
      <c r="H693" s="122">
        <v>0</v>
      </c>
      <c r="I693" s="105">
        <v>0</v>
      </c>
      <c r="J693" s="122">
        <v>0</v>
      </c>
      <c r="K693" s="106"/>
      <c r="L693" s="107"/>
    </row>
    <row r="694" spans="1:12" ht="30" customHeight="1" x14ac:dyDescent="0.25">
      <c r="A694" s="28"/>
      <c r="B694" s="227"/>
      <c r="C694" s="103"/>
      <c r="D694" s="108">
        <v>2020</v>
      </c>
      <c r="E694" s="105">
        <f t="shared" si="17"/>
        <v>0</v>
      </c>
      <c r="F694" s="122">
        <v>0</v>
      </c>
      <c r="G694" s="105">
        <v>0</v>
      </c>
      <c r="H694" s="122">
        <v>0</v>
      </c>
      <c r="I694" s="105">
        <v>0</v>
      </c>
      <c r="J694" s="122">
        <v>0</v>
      </c>
      <c r="K694" s="106"/>
      <c r="L694" s="107"/>
    </row>
    <row r="695" spans="1:12" ht="30" customHeight="1" x14ac:dyDescent="0.25">
      <c r="A695" s="28"/>
      <c r="B695" s="227"/>
      <c r="C695" s="103"/>
      <c r="D695" s="108">
        <v>2021</v>
      </c>
      <c r="E695" s="105">
        <f t="shared" si="17"/>
        <v>0</v>
      </c>
      <c r="F695" s="122">
        <v>0</v>
      </c>
      <c r="G695" s="105">
        <v>0</v>
      </c>
      <c r="H695" s="122">
        <v>0</v>
      </c>
      <c r="I695" s="105">
        <v>0</v>
      </c>
      <c r="J695" s="122">
        <v>0</v>
      </c>
      <c r="K695" s="106"/>
      <c r="L695" s="107"/>
    </row>
    <row r="696" spans="1:12" ht="30" customHeight="1" x14ac:dyDescent="0.25">
      <c r="A696" s="28"/>
      <c r="B696" s="227"/>
      <c r="C696" s="103"/>
      <c r="D696" s="108">
        <v>2022</v>
      </c>
      <c r="E696" s="105">
        <f>F696+G696+H696+J696</f>
        <v>0</v>
      </c>
      <c r="F696" s="122">
        <v>0</v>
      </c>
      <c r="G696" s="105">
        <v>0</v>
      </c>
      <c r="H696" s="122">
        <v>0</v>
      </c>
      <c r="I696" s="105">
        <v>0</v>
      </c>
      <c r="J696" s="122">
        <v>0</v>
      </c>
      <c r="K696" s="106"/>
      <c r="L696" s="107"/>
    </row>
    <row r="697" spans="1:12" ht="30" customHeight="1" x14ac:dyDescent="0.25">
      <c r="A697" s="28"/>
      <c r="B697" s="227"/>
      <c r="C697" s="103"/>
      <c r="D697" s="108">
        <v>2023</v>
      </c>
      <c r="E697" s="105">
        <f t="shared" ref="E697:E704" si="18">F697+G697+H697+J697</f>
        <v>30641.8</v>
      </c>
      <c r="F697" s="122">
        <v>0</v>
      </c>
      <c r="G697" s="105">
        <f>27008.3+7617.9-5516.6</f>
        <v>29109.599999999999</v>
      </c>
      <c r="H697" s="109">
        <f>1822.6-290.4</f>
        <v>1532.1999999999998</v>
      </c>
      <c r="I697" s="105">
        <f>1822.6-290.4</f>
        <v>1532.1999999999998</v>
      </c>
      <c r="J697" s="122">
        <v>0</v>
      </c>
      <c r="K697" s="106"/>
      <c r="L697" s="107"/>
    </row>
    <row r="698" spans="1:12" ht="30" customHeight="1" x14ac:dyDescent="0.25">
      <c r="A698" s="28"/>
      <c r="B698" s="227"/>
      <c r="C698" s="103"/>
      <c r="D698" s="108">
        <v>2024</v>
      </c>
      <c r="E698" s="105">
        <f t="shared" si="18"/>
        <v>0</v>
      </c>
      <c r="F698" s="122">
        <v>0</v>
      </c>
      <c r="G698" s="105">
        <v>0</v>
      </c>
      <c r="H698" s="228">
        <v>0</v>
      </c>
      <c r="I698" s="105">
        <v>0</v>
      </c>
      <c r="J698" s="122">
        <v>0</v>
      </c>
      <c r="K698" s="106"/>
      <c r="L698" s="107"/>
    </row>
    <row r="699" spans="1:12" ht="30" customHeight="1" x14ac:dyDescent="0.25">
      <c r="A699" s="28"/>
      <c r="B699" s="227"/>
      <c r="C699" s="103"/>
      <c r="D699" s="108">
        <v>2025</v>
      </c>
      <c r="E699" s="105">
        <f t="shared" si="18"/>
        <v>0</v>
      </c>
      <c r="F699" s="122">
        <v>0</v>
      </c>
      <c r="G699" s="105">
        <v>0</v>
      </c>
      <c r="H699" s="228">
        <v>0</v>
      </c>
      <c r="I699" s="105">
        <v>0</v>
      </c>
      <c r="J699" s="122">
        <v>0</v>
      </c>
      <c r="K699" s="106"/>
      <c r="L699" s="107"/>
    </row>
    <row r="700" spans="1:12" ht="30" customHeight="1" thickBot="1" x14ac:dyDescent="0.3">
      <c r="A700" s="29"/>
      <c r="B700" s="229"/>
      <c r="C700" s="111"/>
      <c r="D700" s="124">
        <v>2026</v>
      </c>
      <c r="E700" s="113">
        <f t="shared" si="18"/>
        <v>0</v>
      </c>
      <c r="F700" s="125">
        <v>0</v>
      </c>
      <c r="G700" s="113">
        <v>0</v>
      </c>
      <c r="H700" s="230">
        <v>0</v>
      </c>
      <c r="I700" s="113">
        <v>0</v>
      </c>
      <c r="J700" s="125">
        <v>0</v>
      </c>
      <c r="K700" s="114"/>
      <c r="L700" s="115"/>
    </row>
    <row r="701" spans="1:12" ht="30" customHeight="1" x14ac:dyDescent="0.25">
      <c r="A701" s="27" t="s">
        <v>212</v>
      </c>
      <c r="B701" s="226" t="s">
        <v>216</v>
      </c>
      <c r="C701" s="97"/>
      <c r="D701" s="224">
        <v>2018</v>
      </c>
      <c r="E701" s="99">
        <f t="shared" si="18"/>
        <v>0</v>
      </c>
      <c r="F701" s="225">
        <v>0</v>
      </c>
      <c r="G701" s="99">
        <v>0</v>
      </c>
      <c r="H701" s="225">
        <v>0</v>
      </c>
      <c r="I701" s="99">
        <v>0</v>
      </c>
      <c r="J701" s="225">
        <v>0</v>
      </c>
      <c r="K701" s="100" t="s">
        <v>203</v>
      </c>
      <c r="L701" s="101" t="s">
        <v>31</v>
      </c>
    </row>
    <row r="702" spans="1:12" ht="30" customHeight="1" x14ac:dyDescent="0.25">
      <c r="A702" s="28"/>
      <c r="B702" s="227"/>
      <c r="C702" s="103"/>
      <c r="D702" s="108">
        <v>2019</v>
      </c>
      <c r="E702" s="105">
        <f t="shared" si="18"/>
        <v>0</v>
      </c>
      <c r="F702" s="122">
        <v>0</v>
      </c>
      <c r="G702" s="105">
        <v>0</v>
      </c>
      <c r="H702" s="122">
        <v>0</v>
      </c>
      <c r="I702" s="105">
        <v>0</v>
      </c>
      <c r="J702" s="122">
        <v>0</v>
      </c>
      <c r="K702" s="106"/>
      <c r="L702" s="107"/>
    </row>
    <row r="703" spans="1:12" ht="30" customHeight="1" x14ac:dyDescent="0.25">
      <c r="A703" s="28"/>
      <c r="B703" s="227"/>
      <c r="C703" s="103"/>
      <c r="D703" s="108">
        <v>2020</v>
      </c>
      <c r="E703" s="105">
        <f t="shared" si="18"/>
        <v>0</v>
      </c>
      <c r="F703" s="122">
        <v>0</v>
      </c>
      <c r="G703" s="105">
        <v>0</v>
      </c>
      <c r="H703" s="122">
        <v>0</v>
      </c>
      <c r="I703" s="105">
        <v>0</v>
      </c>
      <c r="J703" s="122">
        <v>0</v>
      </c>
      <c r="K703" s="106"/>
      <c r="L703" s="107"/>
    </row>
    <row r="704" spans="1:12" ht="30" customHeight="1" x14ac:dyDescent="0.25">
      <c r="A704" s="28"/>
      <c r="B704" s="227"/>
      <c r="C704" s="103"/>
      <c r="D704" s="108">
        <v>2021</v>
      </c>
      <c r="E704" s="105">
        <f t="shared" si="18"/>
        <v>0</v>
      </c>
      <c r="F704" s="122">
        <v>0</v>
      </c>
      <c r="G704" s="105">
        <v>0</v>
      </c>
      <c r="H704" s="122">
        <v>0</v>
      </c>
      <c r="I704" s="105">
        <v>0</v>
      </c>
      <c r="J704" s="122">
        <v>0</v>
      </c>
      <c r="K704" s="106"/>
      <c r="L704" s="107"/>
    </row>
    <row r="705" spans="1:12" ht="30" customHeight="1" x14ac:dyDescent="0.25">
      <c r="A705" s="28"/>
      <c r="B705" s="227"/>
      <c r="C705" s="103"/>
      <c r="D705" s="108">
        <v>2022</v>
      </c>
      <c r="E705" s="105">
        <f>F705+G705+H705+J705</f>
        <v>0</v>
      </c>
      <c r="F705" s="122">
        <v>0</v>
      </c>
      <c r="G705" s="105">
        <v>0</v>
      </c>
      <c r="H705" s="122">
        <v>0</v>
      </c>
      <c r="I705" s="105">
        <v>0</v>
      </c>
      <c r="J705" s="122">
        <v>0</v>
      </c>
      <c r="K705" s="106"/>
      <c r="L705" s="107"/>
    </row>
    <row r="706" spans="1:12" ht="30" customHeight="1" x14ac:dyDescent="0.25">
      <c r="A706" s="28"/>
      <c r="B706" s="227"/>
      <c r="C706" s="103"/>
      <c r="D706" s="108">
        <v>2023</v>
      </c>
      <c r="E706" s="105">
        <f t="shared" ref="E706:E713" si="19">F706+G706+H706+J706</f>
        <v>197.6</v>
      </c>
      <c r="F706" s="122">
        <v>0</v>
      </c>
      <c r="G706" s="105">
        <f>468.8-281.1</f>
        <v>187.7</v>
      </c>
      <c r="H706" s="109">
        <f>24.7-14.8</f>
        <v>9.8999999999999986</v>
      </c>
      <c r="I706" s="105">
        <f>24.7-14.8</f>
        <v>9.8999999999999986</v>
      </c>
      <c r="J706" s="122">
        <v>0</v>
      </c>
      <c r="K706" s="106"/>
      <c r="L706" s="107"/>
    </row>
    <row r="707" spans="1:12" ht="30" customHeight="1" x14ac:dyDescent="0.25">
      <c r="A707" s="28"/>
      <c r="B707" s="227"/>
      <c r="C707" s="103"/>
      <c r="D707" s="108">
        <v>2024</v>
      </c>
      <c r="E707" s="105">
        <f t="shared" si="19"/>
        <v>1041.0999999999999</v>
      </c>
      <c r="F707" s="122">
        <v>0</v>
      </c>
      <c r="G707" s="123">
        <v>989</v>
      </c>
      <c r="H707" s="231">
        <f>I707</f>
        <v>52.1</v>
      </c>
      <c r="I707" s="123">
        <v>52.1</v>
      </c>
      <c r="J707" s="122">
        <v>0</v>
      </c>
      <c r="K707" s="106"/>
      <c r="L707" s="107"/>
    </row>
    <row r="708" spans="1:12" ht="30" customHeight="1" x14ac:dyDescent="0.25">
      <c r="A708" s="28"/>
      <c r="B708" s="227"/>
      <c r="C708" s="103"/>
      <c r="D708" s="108">
        <v>2025</v>
      </c>
      <c r="E708" s="105">
        <f t="shared" si="19"/>
        <v>0</v>
      </c>
      <c r="F708" s="109">
        <v>0</v>
      </c>
      <c r="G708" s="123">
        <v>0</v>
      </c>
      <c r="H708" s="231">
        <v>0</v>
      </c>
      <c r="I708" s="123">
        <v>0</v>
      </c>
      <c r="J708" s="109">
        <v>0</v>
      </c>
      <c r="K708" s="106"/>
      <c r="L708" s="107"/>
    </row>
    <row r="709" spans="1:12" ht="30" customHeight="1" thickBot="1" x14ac:dyDescent="0.3">
      <c r="A709" s="29"/>
      <c r="B709" s="229"/>
      <c r="C709" s="111"/>
      <c r="D709" s="124">
        <v>2026</v>
      </c>
      <c r="E709" s="113">
        <f t="shared" si="19"/>
        <v>0</v>
      </c>
      <c r="F709" s="203">
        <v>0</v>
      </c>
      <c r="G709" s="126">
        <v>0</v>
      </c>
      <c r="H709" s="232">
        <v>0</v>
      </c>
      <c r="I709" s="126">
        <v>0</v>
      </c>
      <c r="J709" s="203">
        <v>0</v>
      </c>
      <c r="K709" s="114"/>
      <c r="L709" s="115"/>
    </row>
    <row r="710" spans="1:12" ht="30" customHeight="1" x14ac:dyDescent="0.25">
      <c r="A710" s="27" t="s">
        <v>213</v>
      </c>
      <c r="B710" s="226" t="s">
        <v>214</v>
      </c>
      <c r="C710" s="97"/>
      <c r="D710" s="224">
        <v>2018</v>
      </c>
      <c r="E710" s="99">
        <f t="shared" si="19"/>
        <v>0</v>
      </c>
      <c r="F710" s="225">
        <v>0</v>
      </c>
      <c r="G710" s="99">
        <v>0</v>
      </c>
      <c r="H710" s="225">
        <v>0</v>
      </c>
      <c r="I710" s="99">
        <v>0</v>
      </c>
      <c r="J710" s="225">
        <v>0</v>
      </c>
      <c r="K710" s="100" t="s">
        <v>215</v>
      </c>
      <c r="L710" s="101" t="s">
        <v>31</v>
      </c>
    </row>
    <row r="711" spans="1:12" ht="30" customHeight="1" x14ac:dyDescent="0.25">
      <c r="A711" s="28"/>
      <c r="B711" s="227"/>
      <c r="C711" s="103"/>
      <c r="D711" s="108">
        <v>2019</v>
      </c>
      <c r="E711" s="105">
        <f t="shared" si="19"/>
        <v>0</v>
      </c>
      <c r="F711" s="122">
        <v>0</v>
      </c>
      <c r="G711" s="105">
        <v>0</v>
      </c>
      <c r="H711" s="122">
        <v>0</v>
      </c>
      <c r="I711" s="105">
        <v>0</v>
      </c>
      <c r="J711" s="122">
        <v>0</v>
      </c>
      <c r="K711" s="106"/>
      <c r="L711" s="107"/>
    </row>
    <row r="712" spans="1:12" ht="30" customHeight="1" x14ac:dyDescent="0.25">
      <c r="A712" s="28"/>
      <c r="B712" s="227"/>
      <c r="C712" s="103"/>
      <c r="D712" s="108">
        <v>2020</v>
      </c>
      <c r="E712" s="105">
        <f t="shared" si="19"/>
        <v>0</v>
      </c>
      <c r="F712" s="122">
        <v>0</v>
      </c>
      <c r="G712" s="105">
        <v>0</v>
      </c>
      <c r="H712" s="122">
        <v>0</v>
      </c>
      <c r="I712" s="105">
        <v>0</v>
      </c>
      <c r="J712" s="122">
        <v>0</v>
      </c>
      <c r="K712" s="106"/>
      <c r="L712" s="107"/>
    </row>
    <row r="713" spans="1:12" ht="30" customHeight="1" x14ac:dyDescent="0.25">
      <c r="A713" s="28"/>
      <c r="B713" s="227"/>
      <c r="C713" s="103"/>
      <c r="D713" s="108">
        <v>2021</v>
      </c>
      <c r="E713" s="105">
        <f t="shared" si="19"/>
        <v>0</v>
      </c>
      <c r="F713" s="122">
        <v>0</v>
      </c>
      <c r="G713" s="105">
        <v>0</v>
      </c>
      <c r="H713" s="122">
        <v>0</v>
      </c>
      <c r="I713" s="105">
        <v>0</v>
      </c>
      <c r="J713" s="122">
        <v>0</v>
      </c>
      <c r="K713" s="106"/>
      <c r="L713" s="107"/>
    </row>
    <row r="714" spans="1:12" ht="30" customHeight="1" x14ac:dyDescent="0.25">
      <c r="A714" s="28"/>
      <c r="B714" s="227"/>
      <c r="C714" s="103"/>
      <c r="D714" s="108">
        <v>2022</v>
      </c>
      <c r="E714" s="105">
        <f>F714+G714+H714+J714</f>
        <v>0</v>
      </c>
      <c r="F714" s="122">
        <v>0</v>
      </c>
      <c r="G714" s="105">
        <v>0</v>
      </c>
      <c r="H714" s="122">
        <v>0</v>
      </c>
      <c r="I714" s="105">
        <v>0</v>
      </c>
      <c r="J714" s="122">
        <v>0</v>
      </c>
      <c r="K714" s="106"/>
      <c r="L714" s="107"/>
    </row>
    <row r="715" spans="1:12" ht="30" customHeight="1" x14ac:dyDescent="0.25">
      <c r="A715" s="28"/>
      <c r="B715" s="227"/>
      <c r="C715" s="103"/>
      <c r="D715" s="108">
        <v>2023</v>
      </c>
      <c r="E715" s="105">
        <f>F715+G715+H715+J715</f>
        <v>5865.7000000000007</v>
      </c>
      <c r="F715" s="122">
        <v>0</v>
      </c>
      <c r="G715" s="105">
        <v>0</v>
      </c>
      <c r="H715" s="109">
        <f>3526+1786.1+553.6</f>
        <v>5865.7000000000007</v>
      </c>
      <c r="I715" s="105">
        <v>0</v>
      </c>
      <c r="J715" s="122">
        <v>0</v>
      </c>
      <c r="K715" s="106"/>
      <c r="L715" s="107"/>
    </row>
    <row r="716" spans="1:12" ht="30" customHeight="1" x14ac:dyDescent="0.25">
      <c r="A716" s="28"/>
      <c r="B716" s="227"/>
      <c r="C716" s="103"/>
      <c r="D716" s="108">
        <v>2024</v>
      </c>
      <c r="E716" s="105">
        <f t="shared" ref="E716:E722" si="20">F716+G716+H716+J716</f>
        <v>0</v>
      </c>
      <c r="F716" s="122">
        <v>0</v>
      </c>
      <c r="G716" s="105">
        <v>0</v>
      </c>
      <c r="H716" s="109">
        <v>0</v>
      </c>
      <c r="I716" s="105">
        <v>0</v>
      </c>
      <c r="J716" s="122">
        <v>0</v>
      </c>
      <c r="K716" s="106"/>
      <c r="L716" s="107"/>
    </row>
    <row r="717" spans="1:12" ht="30" customHeight="1" x14ac:dyDescent="0.25">
      <c r="A717" s="28"/>
      <c r="B717" s="227"/>
      <c r="C717" s="103"/>
      <c r="D717" s="108">
        <v>2025</v>
      </c>
      <c r="E717" s="105">
        <f t="shared" si="20"/>
        <v>0</v>
      </c>
      <c r="F717" s="109">
        <v>0</v>
      </c>
      <c r="G717" s="105">
        <v>0</v>
      </c>
      <c r="H717" s="109">
        <v>0</v>
      </c>
      <c r="I717" s="105">
        <v>0</v>
      </c>
      <c r="J717" s="109">
        <v>0</v>
      </c>
      <c r="K717" s="106"/>
      <c r="L717" s="107"/>
    </row>
    <row r="718" spans="1:12" ht="30" customHeight="1" thickBot="1" x14ac:dyDescent="0.3">
      <c r="A718" s="29"/>
      <c r="B718" s="229"/>
      <c r="C718" s="111"/>
      <c r="D718" s="124">
        <v>2026</v>
      </c>
      <c r="E718" s="113">
        <f t="shared" si="20"/>
        <v>0</v>
      </c>
      <c r="F718" s="203">
        <v>0</v>
      </c>
      <c r="G718" s="113">
        <v>0</v>
      </c>
      <c r="H718" s="203">
        <v>0</v>
      </c>
      <c r="I718" s="113">
        <v>0</v>
      </c>
      <c r="J718" s="203">
        <v>0</v>
      </c>
      <c r="K718" s="114"/>
      <c r="L718" s="115"/>
    </row>
    <row r="719" spans="1:12" ht="30" customHeight="1" x14ac:dyDescent="0.25">
      <c r="A719" s="27" t="s">
        <v>294</v>
      </c>
      <c r="B719" s="226" t="s">
        <v>298</v>
      </c>
      <c r="C719" s="97"/>
      <c r="D719" s="224">
        <v>2018</v>
      </c>
      <c r="E719" s="99">
        <f t="shared" si="20"/>
        <v>0</v>
      </c>
      <c r="F719" s="225">
        <v>0</v>
      </c>
      <c r="G719" s="99">
        <v>0</v>
      </c>
      <c r="H719" s="225">
        <v>0</v>
      </c>
      <c r="I719" s="99">
        <v>0</v>
      </c>
      <c r="J719" s="225">
        <v>0</v>
      </c>
      <c r="K719" s="100" t="s">
        <v>295</v>
      </c>
      <c r="L719" s="101" t="s">
        <v>31</v>
      </c>
    </row>
    <row r="720" spans="1:12" ht="30" customHeight="1" x14ac:dyDescent="0.25">
      <c r="A720" s="28"/>
      <c r="B720" s="227"/>
      <c r="C720" s="103"/>
      <c r="D720" s="108">
        <v>2019</v>
      </c>
      <c r="E720" s="105">
        <f t="shared" si="20"/>
        <v>0</v>
      </c>
      <c r="F720" s="122">
        <v>0</v>
      </c>
      <c r="G720" s="105">
        <v>0</v>
      </c>
      <c r="H720" s="122">
        <v>0</v>
      </c>
      <c r="I720" s="105">
        <v>0</v>
      </c>
      <c r="J720" s="122">
        <v>0</v>
      </c>
      <c r="K720" s="106"/>
      <c r="L720" s="107"/>
    </row>
    <row r="721" spans="1:12" ht="30" customHeight="1" x14ac:dyDescent="0.25">
      <c r="A721" s="28"/>
      <c r="B721" s="227"/>
      <c r="C721" s="103"/>
      <c r="D721" s="108">
        <v>2020</v>
      </c>
      <c r="E721" s="105">
        <f t="shared" si="20"/>
        <v>0</v>
      </c>
      <c r="F721" s="122">
        <v>0</v>
      </c>
      <c r="G721" s="105">
        <v>0</v>
      </c>
      <c r="H721" s="122">
        <v>0</v>
      </c>
      <c r="I721" s="105">
        <v>0</v>
      </c>
      <c r="J721" s="122">
        <v>0</v>
      </c>
      <c r="K721" s="106"/>
      <c r="L721" s="107"/>
    </row>
    <row r="722" spans="1:12" ht="30" customHeight="1" x14ac:dyDescent="0.25">
      <c r="A722" s="28"/>
      <c r="B722" s="227"/>
      <c r="C722" s="103"/>
      <c r="D722" s="108">
        <v>2021</v>
      </c>
      <c r="E722" s="105">
        <f t="shared" si="20"/>
        <v>0</v>
      </c>
      <c r="F722" s="122">
        <v>0</v>
      </c>
      <c r="G722" s="105">
        <v>0</v>
      </c>
      <c r="H722" s="122">
        <v>0</v>
      </c>
      <c r="I722" s="105">
        <v>0</v>
      </c>
      <c r="J722" s="122">
        <v>0</v>
      </c>
      <c r="K722" s="106"/>
      <c r="L722" s="107"/>
    </row>
    <row r="723" spans="1:12" ht="30" customHeight="1" x14ac:dyDescent="0.25">
      <c r="A723" s="28"/>
      <c r="B723" s="227"/>
      <c r="C723" s="103"/>
      <c r="D723" s="108">
        <v>2022</v>
      </c>
      <c r="E723" s="105">
        <f>F723+G723+H723+J723</f>
        <v>0</v>
      </c>
      <c r="F723" s="122">
        <v>0</v>
      </c>
      <c r="G723" s="105">
        <v>0</v>
      </c>
      <c r="H723" s="122">
        <v>0</v>
      </c>
      <c r="I723" s="105">
        <v>0</v>
      </c>
      <c r="J723" s="122">
        <v>0</v>
      </c>
      <c r="K723" s="106"/>
      <c r="L723" s="107"/>
    </row>
    <row r="724" spans="1:12" ht="30" customHeight="1" x14ac:dyDescent="0.25">
      <c r="A724" s="28"/>
      <c r="B724" s="227"/>
      <c r="C724" s="103"/>
      <c r="D724" s="108">
        <v>2023</v>
      </c>
      <c r="E724" s="105">
        <f>F724+G724+H724+J724</f>
        <v>3300.2</v>
      </c>
      <c r="F724" s="122">
        <v>0</v>
      </c>
      <c r="G724" s="105">
        <v>0</v>
      </c>
      <c r="H724" s="109">
        <v>3300.2</v>
      </c>
      <c r="I724" s="105">
        <v>0</v>
      </c>
      <c r="J724" s="122">
        <v>0</v>
      </c>
      <c r="K724" s="106"/>
      <c r="L724" s="107"/>
    </row>
    <row r="725" spans="1:12" ht="30" customHeight="1" x14ac:dyDescent="0.25">
      <c r="A725" s="28"/>
      <c r="B725" s="227"/>
      <c r="C725" s="103"/>
      <c r="D725" s="108">
        <v>2024</v>
      </c>
      <c r="E725" s="105">
        <f t="shared" ref="E725:E726" si="21">F725+G725+H725+J725</f>
        <v>0</v>
      </c>
      <c r="F725" s="122">
        <v>0</v>
      </c>
      <c r="G725" s="105">
        <v>0</v>
      </c>
      <c r="H725" s="109">
        <v>0</v>
      </c>
      <c r="I725" s="105">
        <v>0</v>
      </c>
      <c r="J725" s="122">
        <v>0</v>
      </c>
      <c r="K725" s="106"/>
      <c r="L725" s="107"/>
    </row>
    <row r="726" spans="1:12" ht="30" customHeight="1" x14ac:dyDescent="0.25">
      <c r="A726" s="28"/>
      <c r="B726" s="227"/>
      <c r="C726" s="103"/>
      <c r="D726" s="108">
        <v>2025</v>
      </c>
      <c r="E726" s="105">
        <f t="shared" si="21"/>
        <v>0</v>
      </c>
      <c r="F726" s="109">
        <v>0</v>
      </c>
      <c r="G726" s="105">
        <v>0</v>
      </c>
      <c r="H726" s="109">
        <v>0</v>
      </c>
      <c r="I726" s="105">
        <v>0</v>
      </c>
      <c r="J726" s="109">
        <v>0</v>
      </c>
      <c r="K726" s="106"/>
      <c r="L726" s="107"/>
    </row>
    <row r="727" spans="1:12" ht="30" customHeight="1" thickBot="1" x14ac:dyDescent="0.3">
      <c r="A727" s="29"/>
      <c r="B727" s="229"/>
      <c r="C727" s="111"/>
      <c r="D727" s="124">
        <v>2026</v>
      </c>
      <c r="E727" s="113">
        <f>F727+G727+H727+J727</f>
        <v>0</v>
      </c>
      <c r="F727" s="203">
        <v>0</v>
      </c>
      <c r="G727" s="113">
        <v>0</v>
      </c>
      <c r="H727" s="203">
        <v>0</v>
      </c>
      <c r="I727" s="113">
        <v>0</v>
      </c>
      <c r="J727" s="203">
        <v>0</v>
      </c>
      <c r="K727" s="114"/>
      <c r="L727" s="115"/>
    </row>
    <row r="728" spans="1:12" ht="30" customHeight="1" x14ac:dyDescent="0.25">
      <c r="A728" s="24" t="s">
        <v>300</v>
      </c>
      <c r="B728" s="233" t="s">
        <v>303</v>
      </c>
      <c r="C728" s="97"/>
      <c r="D728" s="224">
        <v>2018</v>
      </c>
      <c r="E728" s="99">
        <f t="shared" ref="E728:E731" si="22">F728+G728+H728+J728</f>
        <v>0</v>
      </c>
      <c r="F728" s="225">
        <v>0</v>
      </c>
      <c r="G728" s="99">
        <v>0</v>
      </c>
      <c r="H728" s="225">
        <v>0</v>
      </c>
      <c r="I728" s="99">
        <v>0</v>
      </c>
      <c r="J728" s="225">
        <v>0</v>
      </c>
      <c r="K728" s="100" t="s">
        <v>302</v>
      </c>
      <c r="L728" s="101" t="s">
        <v>31</v>
      </c>
    </row>
    <row r="729" spans="1:12" ht="30" customHeight="1" x14ac:dyDescent="0.25">
      <c r="A729" s="25"/>
      <c r="B729" s="234"/>
      <c r="C729" s="103"/>
      <c r="D729" s="108">
        <v>2019</v>
      </c>
      <c r="E729" s="105">
        <f t="shared" si="22"/>
        <v>0</v>
      </c>
      <c r="F729" s="122">
        <v>0</v>
      </c>
      <c r="G729" s="105">
        <v>0</v>
      </c>
      <c r="H729" s="122">
        <v>0</v>
      </c>
      <c r="I729" s="105">
        <v>0</v>
      </c>
      <c r="J729" s="122">
        <v>0</v>
      </c>
      <c r="K729" s="106"/>
      <c r="L729" s="107"/>
    </row>
    <row r="730" spans="1:12" ht="30" customHeight="1" x14ac:dyDescent="0.25">
      <c r="A730" s="25"/>
      <c r="B730" s="234"/>
      <c r="C730" s="103"/>
      <c r="D730" s="108">
        <v>2020</v>
      </c>
      <c r="E730" s="105">
        <f t="shared" si="22"/>
        <v>0</v>
      </c>
      <c r="F730" s="122">
        <v>0</v>
      </c>
      <c r="G730" s="105">
        <v>0</v>
      </c>
      <c r="H730" s="122">
        <v>0</v>
      </c>
      <c r="I730" s="105">
        <v>0</v>
      </c>
      <c r="J730" s="122">
        <v>0</v>
      </c>
      <c r="K730" s="106"/>
      <c r="L730" s="107"/>
    </row>
    <row r="731" spans="1:12" ht="30" customHeight="1" x14ac:dyDescent="0.25">
      <c r="A731" s="25"/>
      <c r="B731" s="234"/>
      <c r="C731" s="103"/>
      <c r="D731" s="108">
        <v>2021</v>
      </c>
      <c r="E731" s="105">
        <f t="shared" si="22"/>
        <v>0</v>
      </c>
      <c r="F731" s="122">
        <v>0</v>
      </c>
      <c r="G731" s="105">
        <v>0</v>
      </c>
      <c r="H731" s="122">
        <v>0</v>
      </c>
      <c r="I731" s="105">
        <v>0</v>
      </c>
      <c r="J731" s="122">
        <v>0</v>
      </c>
      <c r="K731" s="106"/>
      <c r="L731" s="107"/>
    </row>
    <row r="732" spans="1:12" ht="30" customHeight="1" x14ac:dyDescent="0.25">
      <c r="A732" s="25"/>
      <c r="B732" s="234"/>
      <c r="C732" s="103"/>
      <c r="D732" s="108">
        <v>2022</v>
      </c>
      <c r="E732" s="105">
        <f>F732+G732+H732+J732</f>
        <v>0</v>
      </c>
      <c r="F732" s="122">
        <v>0</v>
      </c>
      <c r="G732" s="105">
        <v>0</v>
      </c>
      <c r="H732" s="122">
        <v>0</v>
      </c>
      <c r="I732" s="105">
        <v>0</v>
      </c>
      <c r="J732" s="122">
        <v>0</v>
      </c>
      <c r="K732" s="106"/>
      <c r="L732" s="107"/>
    </row>
    <row r="733" spans="1:12" ht="30" customHeight="1" x14ac:dyDescent="0.25">
      <c r="A733" s="25"/>
      <c r="B733" s="234"/>
      <c r="C733" s="103"/>
      <c r="D733" s="108">
        <v>2023</v>
      </c>
      <c r="E733" s="105">
        <f>F733+G733+H733+J733</f>
        <v>0</v>
      </c>
      <c r="F733" s="122">
        <v>0</v>
      </c>
      <c r="G733" s="105">
        <v>0</v>
      </c>
      <c r="H733" s="109">
        <v>0</v>
      </c>
      <c r="I733" s="105">
        <v>0</v>
      </c>
      <c r="J733" s="122">
        <v>0</v>
      </c>
      <c r="K733" s="106"/>
      <c r="L733" s="107"/>
    </row>
    <row r="734" spans="1:12" ht="30" customHeight="1" x14ac:dyDescent="0.25">
      <c r="A734" s="25"/>
      <c r="B734" s="234"/>
      <c r="C734" s="103"/>
      <c r="D734" s="108">
        <v>2024</v>
      </c>
      <c r="E734" s="105">
        <f t="shared" ref="E734:E735" si="23">F734+G734+H734+J734</f>
        <v>0</v>
      </c>
      <c r="F734" s="122">
        <v>0</v>
      </c>
      <c r="G734" s="105">
        <v>0</v>
      </c>
      <c r="H734" s="231">
        <v>0</v>
      </c>
      <c r="I734" s="123">
        <v>0</v>
      </c>
      <c r="J734" s="122">
        <v>0</v>
      </c>
      <c r="K734" s="106"/>
      <c r="L734" s="107"/>
    </row>
    <row r="735" spans="1:12" ht="30" customHeight="1" x14ac:dyDescent="0.25">
      <c r="A735" s="25"/>
      <c r="B735" s="234"/>
      <c r="C735" s="103"/>
      <c r="D735" s="108">
        <v>2025</v>
      </c>
      <c r="E735" s="105">
        <f t="shared" si="23"/>
        <v>0</v>
      </c>
      <c r="F735" s="109">
        <v>0</v>
      </c>
      <c r="G735" s="105">
        <v>0</v>
      </c>
      <c r="H735" s="109">
        <v>0</v>
      </c>
      <c r="I735" s="105">
        <v>0</v>
      </c>
      <c r="J735" s="109">
        <v>0</v>
      </c>
      <c r="K735" s="106"/>
      <c r="L735" s="107"/>
    </row>
    <row r="736" spans="1:12" ht="30" customHeight="1" thickBot="1" x14ac:dyDescent="0.3">
      <c r="A736" s="26"/>
      <c r="B736" s="235"/>
      <c r="C736" s="111"/>
      <c r="D736" s="124">
        <v>2026</v>
      </c>
      <c r="E736" s="113">
        <f>F736+G736+H736+J736</f>
        <v>0</v>
      </c>
      <c r="F736" s="203">
        <v>0</v>
      </c>
      <c r="G736" s="113">
        <v>0</v>
      </c>
      <c r="H736" s="203">
        <v>0</v>
      </c>
      <c r="I736" s="113">
        <v>0</v>
      </c>
      <c r="J736" s="203">
        <v>0</v>
      </c>
      <c r="K736" s="114"/>
      <c r="L736" s="115"/>
    </row>
    <row r="737" spans="1:13" ht="30" customHeight="1" x14ac:dyDescent="0.25">
      <c r="A737" s="24" t="s">
        <v>305</v>
      </c>
      <c r="B737" s="233" t="s">
        <v>307</v>
      </c>
      <c r="C737" s="97"/>
      <c r="D737" s="224">
        <v>2018</v>
      </c>
      <c r="E737" s="99">
        <f t="shared" ref="E737:E740" si="24">F737+G737+H737+J737</f>
        <v>0</v>
      </c>
      <c r="F737" s="225">
        <v>0</v>
      </c>
      <c r="G737" s="99">
        <v>0</v>
      </c>
      <c r="H737" s="225">
        <v>0</v>
      </c>
      <c r="I737" s="99">
        <v>0</v>
      </c>
      <c r="J737" s="225">
        <v>0</v>
      </c>
      <c r="K737" s="100" t="s">
        <v>302</v>
      </c>
      <c r="L737" s="101" t="s">
        <v>31</v>
      </c>
    </row>
    <row r="738" spans="1:13" ht="30" customHeight="1" x14ac:dyDescent="0.25">
      <c r="A738" s="25"/>
      <c r="B738" s="234"/>
      <c r="C738" s="103"/>
      <c r="D738" s="108">
        <v>2019</v>
      </c>
      <c r="E738" s="105">
        <f t="shared" si="24"/>
        <v>0</v>
      </c>
      <c r="F738" s="122">
        <v>0</v>
      </c>
      <c r="G738" s="105">
        <v>0</v>
      </c>
      <c r="H738" s="122">
        <v>0</v>
      </c>
      <c r="I738" s="105">
        <v>0</v>
      </c>
      <c r="J738" s="122">
        <v>0</v>
      </c>
      <c r="K738" s="106"/>
      <c r="L738" s="107"/>
    </row>
    <row r="739" spans="1:13" ht="30" customHeight="1" x14ac:dyDescent="0.25">
      <c r="A739" s="25"/>
      <c r="B739" s="234"/>
      <c r="C739" s="103"/>
      <c r="D739" s="108">
        <v>2020</v>
      </c>
      <c r="E739" s="105">
        <f t="shared" si="24"/>
        <v>0</v>
      </c>
      <c r="F739" s="122">
        <v>0</v>
      </c>
      <c r="G739" s="105">
        <v>0</v>
      </c>
      <c r="H739" s="122">
        <v>0</v>
      </c>
      <c r="I739" s="105">
        <v>0</v>
      </c>
      <c r="J739" s="122">
        <v>0</v>
      </c>
      <c r="K739" s="106"/>
      <c r="L739" s="107"/>
    </row>
    <row r="740" spans="1:13" ht="30" customHeight="1" x14ac:dyDescent="0.25">
      <c r="A740" s="25"/>
      <c r="B740" s="234"/>
      <c r="C740" s="103"/>
      <c r="D740" s="108">
        <v>2021</v>
      </c>
      <c r="E740" s="105">
        <f t="shared" si="24"/>
        <v>0</v>
      </c>
      <c r="F740" s="122">
        <v>0</v>
      </c>
      <c r="G740" s="105">
        <v>0</v>
      </c>
      <c r="H740" s="122">
        <v>0</v>
      </c>
      <c r="I740" s="105">
        <v>0</v>
      </c>
      <c r="J740" s="122">
        <v>0</v>
      </c>
      <c r="K740" s="106"/>
      <c r="L740" s="107"/>
    </row>
    <row r="741" spans="1:13" ht="30" customHeight="1" x14ac:dyDescent="0.25">
      <c r="A741" s="25"/>
      <c r="B741" s="234"/>
      <c r="C741" s="103"/>
      <c r="D741" s="108">
        <v>2022</v>
      </c>
      <c r="E741" s="105">
        <f>F741+G741+H741+J741</f>
        <v>0</v>
      </c>
      <c r="F741" s="122">
        <v>0</v>
      </c>
      <c r="G741" s="105">
        <v>0</v>
      </c>
      <c r="H741" s="122">
        <v>0</v>
      </c>
      <c r="I741" s="105">
        <v>0</v>
      </c>
      <c r="J741" s="122">
        <v>0</v>
      </c>
      <c r="K741" s="106"/>
      <c r="L741" s="107"/>
    </row>
    <row r="742" spans="1:13" ht="30" customHeight="1" x14ac:dyDescent="0.25">
      <c r="A742" s="25"/>
      <c r="B742" s="234"/>
      <c r="C742" s="103"/>
      <c r="D742" s="108">
        <v>2023</v>
      </c>
      <c r="E742" s="105">
        <f>F742+G742+H742+J742</f>
        <v>240</v>
      </c>
      <c r="F742" s="122">
        <v>0</v>
      </c>
      <c r="G742" s="105">
        <v>0</v>
      </c>
      <c r="H742" s="109">
        <f>150+90</f>
        <v>240</v>
      </c>
      <c r="I742" s="105">
        <v>0</v>
      </c>
      <c r="J742" s="122">
        <v>0</v>
      </c>
      <c r="K742" s="106"/>
      <c r="L742" s="107"/>
    </row>
    <row r="743" spans="1:13" ht="30" customHeight="1" x14ac:dyDescent="0.25">
      <c r="A743" s="25"/>
      <c r="B743" s="234"/>
      <c r="C743" s="103"/>
      <c r="D743" s="108">
        <v>2024</v>
      </c>
      <c r="E743" s="105">
        <f t="shared" ref="E743:E744" si="25">F743+G743+H743+J743</f>
        <v>0</v>
      </c>
      <c r="F743" s="122">
        <v>0</v>
      </c>
      <c r="G743" s="105">
        <v>0</v>
      </c>
      <c r="H743" s="231">
        <v>0</v>
      </c>
      <c r="I743" s="123">
        <v>0</v>
      </c>
      <c r="J743" s="122">
        <v>0</v>
      </c>
      <c r="K743" s="106"/>
      <c r="L743" s="107"/>
    </row>
    <row r="744" spans="1:13" ht="30" customHeight="1" x14ac:dyDescent="0.25">
      <c r="A744" s="25"/>
      <c r="B744" s="234"/>
      <c r="C744" s="103"/>
      <c r="D744" s="108">
        <v>2025</v>
      </c>
      <c r="E744" s="105">
        <f t="shared" si="25"/>
        <v>0</v>
      </c>
      <c r="F744" s="109">
        <v>0</v>
      </c>
      <c r="G744" s="105">
        <v>0</v>
      </c>
      <c r="H744" s="109">
        <v>0</v>
      </c>
      <c r="I744" s="105">
        <v>0</v>
      </c>
      <c r="J744" s="109">
        <v>0</v>
      </c>
      <c r="K744" s="106"/>
      <c r="L744" s="107"/>
    </row>
    <row r="745" spans="1:13" ht="30" customHeight="1" thickBot="1" x14ac:dyDescent="0.3">
      <c r="A745" s="26"/>
      <c r="B745" s="235"/>
      <c r="C745" s="111"/>
      <c r="D745" s="124">
        <v>2026</v>
      </c>
      <c r="E745" s="113">
        <f>F745+G745+H745+J745</f>
        <v>0</v>
      </c>
      <c r="F745" s="203">
        <v>0</v>
      </c>
      <c r="G745" s="113">
        <v>0</v>
      </c>
      <c r="H745" s="203">
        <v>0</v>
      </c>
      <c r="I745" s="113">
        <v>0</v>
      </c>
      <c r="J745" s="203">
        <v>0</v>
      </c>
      <c r="K745" s="114"/>
      <c r="L745" s="115"/>
    </row>
    <row r="746" spans="1:13" ht="30" customHeight="1" x14ac:dyDescent="0.25">
      <c r="A746" s="24" t="s">
        <v>306</v>
      </c>
      <c r="B746" s="236" t="s">
        <v>308</v>
      </c>
      <c r="C746" s="237"/>
      <c r="D746" s="224">
        <v>2018</v>
      </c>
      <c r="E746" s="99">
        <f t="shared" ref="E746:E749" si="26">F746+G746+H746+J746</f>
        <v>0</v>
      </c>
      <c r="F746" s="225">
        <v>0</v>
      </c>
      <c r="G746" s="99">
        <v>0</v>
      </c>
      <c r="H746" s="225">
        <v>0</v>
      </c>
      <c r="I746" s="99">
        <v>0</v>
      </c>
      <c r="J746" s="225">
        <v>0</v>
      </c>
      <c r="K746" s="100" t="s">
        <v>309</v>
      </c>
      <c r="L746" s="101" t="s">
        <v>31</v>
      </c>
    </row>
    <row r="747" spans="1:13" ht="30" customHeight="1" x14ac:dyDescent="0.25">
      <c r="A747" s="25"/>
      <c r="B747" s="238"/>
      <c r="C747" s="239"/>
      <c r="D747" s="108">
        <v>2019</v>
      </c>
      <c r="E747" s="105">
        <f t="shared" si="26"/>
        <v>0</v>
      </c>
      <c r="F747" s="122">
        <v>0</v>
      </c>
      <c r="G747" s="105">
        <v>0</v>
      </c>
      <c r="H747" s="122">
        <v>0</v>
      </c>
      <c r="I747" s="105">
        <v>0</v>
      </c>
      <c r="J747" s="122">
        <v>0</v>
      </c>
      <c r="K747" s="106"/>
      <c r="L747" s="107"/>
    </row>
    <row r="748" spans="1:13" ht="30" customHeight="1" x14ac:dyDescent="0.25">
      <c r="A748" s="25"/>
      <c r="B748" s="238"/>
      <c r="C748" s="239"/>
      <c r="D748" s="108">
        <v>2020</v>
      </c>
      <c r="E748" s="105">
        <f t="shared" si="26"/>
        <v>0</v>
      </c>
      <c r="F748" s="122">
        <v>0</v>
      </c>
      <c r="G748" s="105">
        <v>0</v>
      </c>
      <c r="H748" s="122">
        <v>0</v>
      </c>
      <c r="I748" s="105">
        <v>0</v>
      </c>
      <c r="J748" s="122">
        <v>0</v>
      </c>
      <c r="K748" s="106"/>
      <c r="L748" s="107"/>
    </row>
    <row r="749" spans="1:13" ht="30" customHeight="1" x14ac:dyDescent="0.25">
      <c r="A749" s="25"/>
      <c r="B749" s="238"/>
      <c r="C749" s="239"/>
      <c r="D749" s="108">
        <v>2021</v>
      </c>
      <c r="E749" s="105">
        <f t="shared" si="26"/>
        <v>0</v>
      </c>
      <c r="F749" s="122">
        <v>0</v>
      </c>
      <c r="G749" s="105">
        <v>0</v>
      </c>
      <c r="H749" s="122">
        <v>0</v>
      </c>
      <c r="I749" s="105">
        <v>0</v>
      </c>
      <c r="J749" s="122">
        <v>0</v>
      </c>
      <c r="K749" s="106"/>
      <c r="L749" s="107"/>
    </row>
    <row r="750" spans="1:13" ht="30" customHeight="1" x14ac:dyDescent="0.25">
      <c r="A750" s="25"/>
      <c r="B750" s="238"/>
      <c r="C750" s="239"/>
      <c r="D750" s="108">
        <v>2022</v>
      </c>
      <c r="E750" s="105">
        <f>F750+G750+H750+J750</f>
        <v>0</v>
      </c>
      <c r="F750" s="122">
        <v>0</v>
      </c>
      <c r="G750" s="105">
        <v>0</v>
      </c>
      <c r="H750" s="122">
        <v>0</v>
      </c>
      <c r="I750" s="105">
        <v>0</v>
      </c>
      <c r="J750" s="122">
        <v>0</v>
      </c>
      <c r="K750" s="106"/>
      <c r="L750" s="107"/>
    </row>
    <row r="751" spans="1:13" ht="30" customHeight="1" x14ac:dyDescent="0.25">
      <c r="A751" s="25"/>
      <c r="B751" s="238"/>
      <c r="C751" s="239"/>
      <c r="D751" s="108">
        <v>2023</v>
      </c>
      <c r="E751" s="105">
        <f>F751+G751+H751+J751</f>
        <v>50</v>
      </c>
      <c r="F751" s="122">
        <v>0</v>
      </c>
      <c r="G751" s="105">
        <v>0</v>
      </c>
      <c r="H751" s="109">
        <f>182.9-132.9</f>
        <v>50</v>
      </c>
      <c r="I751" s="105">
        <v>0</v>
      </c>
      <c r="J751" s="122">
        <v>0</v>
      </c>
      <c r="K751" s="106"/>
      <c r="L751" s="107"/>
    </row>
    <row r="752" spans="1:13" ht="30" customHeight="1" x14ac:dyDescent="0.25">
      <c r="A752" s="25"/>
      <c r="B752" s="238"/>
      <c r="C752" s="239"/>
      <c r="D752" s="108">
        <v>2024</v>
      </c>
      <c r="E752" s="105">
        <f>F752+G752+H752+J752</f>
        <v>180</v>
      </c>
      <c r="F752" s="122">
        <v>0</v>
      </c>
      <c r="G752" s="105">
        <v>0</v>
      </c>
      <c r="H752" s="231">
        <v>180</v>
      </c>
      <c r="I752" s="123">
        <v>0</v>
      </c>
      <c r="J752" s="122">
        <v>0</v>
      </c>
      <c r="K752" s="106"/>
      <c r="L752" s="107"/>
      <c r="M752" s="223">
        <f>G707+G706+G697+G690+G689+G688+G687+G682+G681+G680+G679+G678+G672+G671+G670+G669+G622+G610+G609+G608+G607+G606+G605+G604+G568+G567+G540+G550+G536+G535+G533+G532+G522+G513+G507+G503+G472+G471+G470+G469+G468+G467+G429+G428+G427+G426+G425+G424+G423+G422+G390+G378+G377+G375+G374+G373+G372+G371+G370+G369+G368+G330+G329+G328+G327+G326+G325+G324+G323+G321+G320+G319+G318+G317+G316+G315+G314+G312+G311+G310+G309+G308+G307+G297+G296+G165+G164+G163+G156+G155+G154+G153+G152+G151+G150+G149+G147+G146+G145+G144+G143+G142+G141+G140+G93+G92+G91+G84+G83+G82+G81+G80+G79+G78+G77+G75+G74+G73+G72+G71+G70+G69+G68+G23+G22+G12+G11</f>
        <v>18189302.199999999</v>
      </c>
    </row>
    <row r="753" spans="1:14" ht="30" customHeight="1" x14ac:dyDescent="0.25">
      <c r="A753" s="25"/>
      <c r="B753" s="238"/>
      <c r="C753" s="239"/>
      <c r="D753" s="108">
        <v>2025</v>
      </c>
      <c r="E753" s="105">
        <f t="shared" ref="E753" si="27">F753+G753+H753+J753</f>
        <v>180</v>
      </c>
      <c r="F753" s="109">
        <v>0</v>
      </c>
      <c r="G753" s="105">
        <v>0</v>
      </c>
      <c r="H753" s="109">
        <v>180</v>
      </c>
      <c r="I753" s="105">
        <v>0</v>
      </c>
      <c r="J753" s="109">
        <v>0</v>
      </c>
      <c r="K753" s="106"/>
      <c r="L753" s="107"/>
      <c r="M753" s="223">
        <f>M752-9078393.7</f>
        <v>9110908.5</v>
      </c>
    </row>
    <row r="754" spans="1:14" ht="30" customHeight="1" thickBot="1" x14ac:dyDescent="0.3">
      <c r="A754" s="26"/>
      <c r="B754" s="240"/>
      <c r="C754" s="241"/>
      <c r="D754" s="124">
        <v>2026</v>
      </c>
      <c r="E754" s="113">
        <f>F754+G754+H754+J754</f>
        <v>180</v>
      </c>
      <c r="F754" s="203">
        <v>0</v>
      </c>
      <c r="G754" s="113">
        <v>0</v>
      </c>
      <c r="H754" s="203">
        <v>180</v>
      </c>
      <c r="I754" s="113">
        <v>0</v>
      </c>
      <c r="J754" s="203">
        <v>0</v>
      </c>
      <c r="K754" s="114"/>
      <c r="L754" s="115"/>
      <c r="M754" s="223"/>
      <c r="N754" s="223"/>
    </row>
    <row r="755" spans="1:14" ht="30" customHeight="1" thickBot="1" x14ac:dyDescent="0.3">
      <c r="A755" s="19" t="s">
        <v>310</v>
      </c>
      <c r="B755" s="242" t="s">
        <v>324</v>
      </c>
      <c r="C755" s="243"/>
      <c r="D755" s="244">
        <v>2018</v>
      </c>
      <c r="E755" s="245">
        <v>0</v>
      </c>
      <c r="F755" s="245">
        <v>0</v>
      </c>
      <c r="G755" s="245">
        <v>0</v>
      </c>
      <c r="H755" s="245">
        <v>0</v>
      </c>
      <c r="I755" s="245">
        <v>0</v>
      </c>
      <c r="J755" s="245">
        <v>0</v>
      </c>
      <c r="K755" s="162" t="s">
        <v>323</v>
      </c>
      <c r="L755" s="101" t="s">
        <v>31</v>
      </c>
      <c r="M755" s="223"/>
      <c r="N755" s="223"/>
    </row>
    <row r="756" spans="1:14" ht="30" customHeight="1" thickBot="1" x14ac:dyDescent="0.3">
      <c r="A756" s="22"/>
      <c r="B756" s="246"/>
      <c r="C756" s="243"/>
      <c r="D756" s="247">
        <v>2019</v>
      </c>
      <c r="E756" s="185">
        <v>0</v>
      </c>
      <c r="F756" s="185">
        <v>0</v>
      </c>
      <c r="G756" s="185">
        <v>0</v>
      </c>
      <c r="H756" s="185">
        <v>0</v>
      </c>
      <c r="I756" s="185">
        <v>0</v>
      </c>
      <c r="J756" s="185">
        <v>0</v>
      </c>
      <c r="K756" s="165"/>
      <c r="L756" s="107"/>
      <c r="M756" s="223"/>
      <c r="N756" s="223"/>
    </row>
    <row r="757" spans="1:14" ht="30" customHeight="1" thickBot="1" x14ac:dyDescent="0.3">
      <c r="A757" s="22"/>
      <c r="B757" s="246"/>
      <c r="C757" s="243"/>
      <c r="D757" s="247">
        <v>2020</v>
      </c>
      <c r="E757" s="185">
        <v>0</v>
      </c>
      <c r="F757" s="185">
        <v>0</v>
      </c>
      <c r="G757" s="185">
        <v>0</v>
      </c>
      <c r="H757" s="185">
        <v>0</v>
      </c>
      <c r="I757" s="185">
        <v>0</v>
      </c>
      <c r="J757" s="185">
        <v>0</v>
      </c>
      <c r="K757" s="165"/>
      <c r="L757" s="107"/>
      <c r="M757" s="223"/>
      <c r="N757" s="223"/>
    </row>
    <row r="758" spans="1:14" ht="30" customHeight="1" thickBot="1" x14ac:dyDescent="0.3">
      <c r="A758" s="22"/>
      <c r="B758" s="246"/>
      <c r="C758" s="243"/>
      <c r="D758" s="247">
        <v>2021</v>
      </c>
      <c r="E758" s="185">
        <v>0</v>
      </c>
      <c r="F758" s="185">
        <v>0</v>
      </c>
      <c r="G758" s="185">
        <v>0</v>
      </c>
      <c r="H758" s="185">
        <v>0</v>
      </c>
      <c r="I758" s="185">
        <v>0</v>
      </c>
      <c r="J758" s="185">
        <v>0</v>
      </c>
      <c r="K758" s="165"/>
      <c r="L758" s="107"/>
      <c r="M758" s="223"/>
      <c r="N758" s="223"/>
    </row>
    <row r="759" spans="1:14" ht="30" customHeight="1" thickBot="1" x14ac:dyDescent="0.3">
      <c r="A759" s="22"/>
      <c r="B759" s="246"/>
      <c r="C759" s="243"/>
      <c r="D759" s="247">
        <v>2022</v>
      </c>
      <c r="E759" s="185">
        <v>0</v>
      </c>
      <c r="F759" s="185">
        <v>0</v>
      </c>
      <c r="G759" s="185">
        <v>0</v>
      </c>
      <c r="H759" s="185">
        <v>0</v>
      </c>
      <c r="I759" s="185">
        <v>0</v>
      </c>
      <c r="J759" s="185">
        <v>0</v>
      </c>
      <c r="K759" s="165"/>
      <c r="L759" s="107"/>
      <c r="M759" s="223"/>
      <c r="N759" s="223"/>
    </row>
    <row r="760" spans="1:14" ht="30" customHeight="1" thickBot="1" x14ac:dyDescent="0.3">
      <c r="A760" s="22"/>
      <c r="B760" s="246"/>
      <c r="C760" s="243"/>
      <c r="D760" s="247">
        <v>2023</v>
      </c>
      <c r="E760" s="185">
        <f>F760+G760+H760+I760+J760</f>
        <v>120</v>
      </c>
      <c r="F760" s="185">
        <v>0</v>
      </c>
      <c r="G760" s="185">
        <v>0</v>
      </c>
      <c r="H760" s="185">
        <v>120</v>
      </c>
      <c r="I760" s="185">
        <v>0</v>
      </c>
      <c r="J760" s="185">
        <v>0</v>
      </c>
      <c r="K760" s="165"/>
      <c r="L760" s="107"/>
      <c r="M760" s="223"/>
      <c r="N760" s="223"/>
    </row>
    <row r="761" spans="1:14" ht="30" customHeight="1" thickBot="1" x14ac:dyDescent="0.3">
      <c r="A761" s="22"/>
      <c r="B761" s="246"/>
      <c r="C761" s="243"/>
      <c r="D761" s="247">
        <v>2024</v>
      </c>
      <c r="E761" s="185">
        <f>F761+G761+H761+I761+J761</f>
        <v>1440</v>
      </c>
      <c r="F761" s="185">
        <v>0</v>
      </c>
      <c r="G761" s="185">
        <v>0</v>
      </c>
      <c r="H761" s="248">
        <v>1440</v>
      </c>
      <c r="I761" s="185">
        <v>0</v>
      </c>
      <c r="J761" s="185">
        <v>0</v>
      </c>
      <c r="K761" s="165"/>
      <c r="L761" s="107"/>
      <c r="M761" s="223"/>
      <c r="N761" s="223"/>
    </row>
    <row r="762" spans="1:14" ht="30" customHeight="1" thickBot="1" x14ac:dyDescent="0.3">
      <c r="A762" s="22"/>
      <c r="B762" s="246"/>
      <c r="C762" s="243"/>
      <c r="D762" s="247">
        <v>2025</v>
      </c>
      <c r="E762" s="185">
        <f>F762+G762+H762+I762+J762</f>
        <v>1440</v>
      </c>
      <c r="F762" s="185">
        <v>0</v>
      </c>
      <c r="G762" s="185">
        <v>0</v>
      </c>
      <c r="H762" s="248">
        <f>1440</f>
        <v>1440</v>
      </c>
      <c r="I762" s="185">
        <v>0</v>
      </c>
      <c r="J762" s="185">
        <v>0</v>
      </c>
      <c r="K762" s="165"/>
      <c r="L762" s="107"/>
      <c r="M762" s="223"/>
      <c r="N762" s="223"/>
    </row>
    <row r="763" spans="1:14" ht="30" customHeight="1" thickBot="1" x14ac:dyDescent="0.3">
      <c r="A763" s="23"/>
      <c r="B763" s="249"/>
      <c r="C763" s="243"/>
      <c r="D763" s="250">
        <v>2026</v>
      </c>
      <c r="E763" s="185">
        <f>F763+G763+H763+I763+J763</f>
        <v>1440</v>
      </c>
      <c r="F763" s="185">
        <v>0</v>
      </c>
      <c r="G763" s="185">
        <v>0</v>
      </c>
      <c r="H763" s="248">
        <v>1440</v>
      </c>
      <c r="I763" s="185">
        <v>0</v>
      </c>
      <c r="J763" s="185">
        <v>0</v>
      </c>
      <c r="K763" s="168"/>
      <c r="L763" s="115"/>
      <c r="M763" s="223"/>
      <c r="N763" s="223"/>
    </row>
    <row r="764" spans="1:14" ht="30" customHeight="1" thickBot="1" x14ac:dyDescent="0.3">
      <c r="A764" s="19" t="s">
        <v>312</v>
      </c>
      <c r="B764" s="242" t="s">
        <v>311</v>
      </c>
      <c r="C764" s="243"/>
      <c r="D764" s="244">
        <v>2018</v>
      </c>
      <c r="E764" s="245">
        <v>0</v>
      </c>
      <c r="F764" s="251">
        <v>0</v>
      </c>
      <c r="G764" s="185">
        <v>0</v>
      </c>
      <c r="H764" s="185">
        <v>0</v>
      </c>
      <c r="I764" s="185">
        <v>0</v>
      </c>
      <c r="J764" s="245">
        <v>0</v>
      </c>
      <c r="K764" s="162" t="s">
        <v>322</v>
      </c>
      <c r="L764" s="101" t="s">
        <v>31</v>
      </c>
      <c r="M764" s="223"/>
      <c r="N764" s="223"/>
    </row>
    <row r="765" spans="1:14" ht="30" customHeight="1" thickBot="1" x14ac:dyDescent="0.3">
      <c r="A765" s="20"/>
      <c r="B765" s="246"/>
      <c r="C765" s="243"/>
      <c r="D765" s="247">
        <v>2019</v>
      </c>
      <c r="E765" s="185">
        <v>0</v>
      </c>
      <c r="F765" s="251">
        <v>0</v>
      </c>
      <c r="G765" s="185">
        <v>0</v>
      </c>
      <c r="H765" s="185">
        <v>0</v>
      </c>
      <c r="I765" s="185">
        <v>0</v>
      </c>
      <c r="J765" s="185">
        <v>0</v>
      </c>
      <c r="K765" s="165"/>
      <c r="L765" s="107"/>
      <c r="M765" s="223"/>
      <c r="N765" s="223"/>
    </row>
    <row r="766" spans="1:14" ht="30" customHeight="1" thickBot="1" x14ac:dyDescent="0.3">
      <c r="A766" s="20"/>
      <c r="B766" s="246"/>
      <c r="C766" s="243"/>
      <c r="D766" s="247">
        <v>2020</v>
      </c>
      <c r="E766" s="185">
        <v>0</v>
      </c>
      <c r="F766" s="251">
        <v>0</v>
      </c>
      <c r="G766" s="185">
        <v>0</v>
      </c>
      <c r="H766" s="185">
        <v>0</v>
      </c>
      <c r="I766" s="185">
        <v>0</v>
      </c>
      <c r="J766" s="185">
        <v>0</v>
      </c>
      <c r="K766" s="165"/>
      <c r="L766" s="107"/>
      <c r="M766" s="223"/>
      <c r="N766" s="223"/>
    </row>
    <row r="767" spans="1:14" ht="30" customHeight="1" thickBot="1" x14ac:dyDescent="0.3">
      <c r="A767" s="20"/>
      <c r="B767" s="246"/>
      <c r="C767" s="243"/>
      <c r="D767" s="247">
        <v>2021</v>
      </c>
      <c r="E767" s="185">
        <v>0</v>
      </c>
      <c r="F767" s="251">
        <v>0</v>
      </c>
      <c r="G767" s="185">
        <v>0</v>
      </c>
      <c r="H767" s="185">
        <v>0</v>
      </c>
      <c r="I767" s="185">
        <v>0</v>
      </c>
      <c r="J767" s="185">
        <v>0</v>
      </c>
      <c r="K767" s="165"/>
      <c r="L767" s="107"/>
      <c r="M767" s="223"/>
      <c r="N767" s="223"/>
    </row>
    <row r="768" spans="1:14" ht="30" customHeight="1" thickBot="1" x14ac:dyDescent="0.3">
      <c r="A768" s="20"/>
      <c r="B768" s="246"/>
      <c r="C768" s="243"/>
      <c r="D768" s="247">
        <v>2022</v>
      </c>
      <c r="E768" s="185">
        <v>0</v>
      </c>
      <c r="F768" s="251">
        <v>0</v>
      </c>
      <c r="G768" s="185">
        <v>0</v>
      </c>
      <c r="H768" s="185">
        <v>0</v>
      </c>
      <c r="I768" s="185">
        <v>0</v>
      </c>
      <c r="J768" s="185">
        <v>0</v>
      </c>
      <c r="K768" s="165"/>
      <c r="L768" s="107"/>
      <c r="M768" s="223"/>
      <c r="N768" s="223"/>
    </row>
    <row r="769" spans="1:14" ht="30" customHeight="1" thickBot="1" x14ac:dyDescent="0.3">
      <c r="A769" s="20"/>
      <c r="B769" s="246"/>
      <c r="C769" s="243"/>
      <c r="D769" s="247">
        <v>2023</v>
      </c>
      <c r="E769" s="185">
        <f>F769+G769+H769+I769+J769</f>
        <v>1000</v>
      </c>
      <c r="F769" s="251">
        <v>0</v>
      </c>
      <c r="G769" s="185">
        <v>0</v>
      </c>
      <c r="H769" s="185">
        <v>1000</v>
      </c>
      <c r="I769" s="185">
        <v>0</v>
      </c>
      <c r="J769" s="185">
        <v>0</v>
      </c>
      <c r="K769" s="165"/>
      <c r="L769" s="107"/>
      <c r="M769" s="223"/>
      <c r="N769" s="223"/>
    </row>
    <row r="770" spans="1:14" ht="30" customHeight="1" thickBot="1" x14ac:dyDescent="0.3">
      <c r="A770" s="20"/>
      <c r="B770" s="246"/>
      <c r="C770" s="243"/>
      <c r="D770" s="247">
        <v>2024</v>
      </c>
      <c r="E770" s="185">
        <v>0</v>
      </c>
      <c r="F770" s="251">
        <v>0</v>
      </c>
      <c r="G770" s="185">
        <v>0</v>
      </c>
      <c r="H770" s="185">
        <v>0</v>
      </c>
      <c r="I770" s="185">
        <v>0</v>
      </c>
      <c r="J770" s="185">
        <v>0</v>
      </c>
      <c r="K770" s="165"/>
      <c r="L770" s="107"/>
      <c r="M770" s="223"/>
      <c r="N770" s="223"/>
    </row>
    <row r="771" spans="1:14" ht="30" customHeight="1" thickBot="1" x14ac:dyDescent="0.3">
      <c r="A771" s="20"/>
      <c r="B771" s="246"/>
      <c r="C771" s="243"/>
      <c r="D771" s="247">
        <v>2025</v>
      </c>
      <c r="E771" s="185">
        <v>0</v>
      </c>
      <c r="F771" s="251">
        <v>0</v>
      </c>
      <c r="G771" s="185">
        <v>0</v>
      </c>
      <c r="H771" s="185">
        <v>0</v>
      </c>
      <c r="I771" s="185">
        <v>0</v>
      </c>
      <c r="J771" s="185">
        <v>0</v>
      </c>
      <c r="K771" s="165"/>
      <c r="L771" s="107"/>
      <c r="M771" s="223"/>
      <c r="N771" s="223"/>
    </row>
    <row r="772" spans="1:14" ht="30" customHeight="1" thickBot="1" x14ac:dyDescent="0.3">
      <c r="A772" s="21"/>
      <c r="B772" s="249"/>
      <c r="C772" s="243"/>
      <c r="D772" s="252">
        <v>2026</v>
      </c>
      <c r="E772" s="185">
        <v>0</v>
      </c>
      <c r="F772" s="251">
        <v>0</v>
      </c>
      <c r="G772" s="185">
        <v>0</v>
      </c>
      <c r="H772" s="185">
        <v>0</v>
      </c>
      <c r="I772" s="185">
        <v>0</v>
      </c>
      <c r="J772" s="185">
        <v>0</v>
      </c>
      <c r="K772" s="168"/>
      <c r="L772" s="115"/>
      <c r="M772" s="223"/>
      <c r="N772" s="223"/>
    </row>
    <row r="773" spans="1:14" ht="30" customHeight="1" thickBot="1" x14ac:dyDescent="0.3">
      <c r="A773" s="19" t="s">
        <v>313</v>
      </c>
      <c r="B773" s="242" t="s">
        <v>314</v>
      </c>
      <c r="C773" s="243"/>
      <c r="D773" s="253">
        <v>2018</v>
      </c>
      <c r="E773" s="245">
        <v>0</v>
      </c>
      <c r="F773" s="251">
        <v>0</v>
      </c>
      <c r="G773" s="185">
        <v>0</v>
      </c>
      <c r="H773" s="185">
        <v>0</v>
      </c>
      <c r="I773" s="185">
        <v>0</v>
      </c>
      <c r="J773" s="245">
        <v>0</v>
      </c>
      <c r="K773" s="100" t="s">
        <v>345</v>
      </c>
      <c r="L773" s="101" t="s">
        <v>31</v>
      </c>
      <c r="M773" s="223"/>
      <c r="N773" s="223"/>
    </row>
    <row r="774" spans="1:14" ht="30" customHeight="1" thickBot="1" x14ac:dyDescent="0.3">
      <c r="A774" s="20"/>
      <c r="B774" s="246"/>
      <c r="C774" s="243"/>
      <c r="D774" s="254">
        <v>2019</v>
      </c>
      <c r="E774" s="185">
        <v>0</v>
      </c>
      <c r="F774" s="251">
        <v>0</v>
      </c>
      <c r="G774" s="185">
        <v>0</v>
      </c>
      <c r="H774" s="185">
        <v>0</v>
      </c>
      <c r="I774" s="185">
        <v>0</v>
      </c>
      <c r="J774" s="185">
        <v>0</v>
      </c>
      <c r="K774" s="106"/>
      <c r="L774" s="107"/>
      <c r="M774" s="223"/>
      <c r="N774" s="223"/>
    </row>
    <row r="775" spans="1:14" ht="30" customHeight="1" thickBot="1" x14ac:dyDescent="0.3">
      <c r="A775" s="20"/>
      <c r="B775" s="246"/>
      <c r="C775" s="243"/>
      <c r="D775" s="254">
        <v>2020</v>
      </c>
      <c r="E775" s="185">
        <v>0</v>
      </c>
      <c r="F775" s="251">
        <v>0</v>
      </c>
      <c r="G775" s="185">
        <v>0</v>
      </c>
      <c r="H775" s="185">
        <v>0</v>
      </c>
      <c r="I775" s="185">
        <v>0</v>
      </c>
      <c r="J775" s="185">
        <v>0</v>
      </c>
      <c r="K775" s="106"/>
      <c r="L775" s="107"/>
      <c r="M775" s="223"/>
      <c r="N775" s="223"/>
    </row>
    <row r="776" spans="1:14" ht="30" customHeight="1" thickBot="1" x14ac:dyDescent="0.3">
      <c r="A776" s="20"/>
      <c r="B776" s="246"/>
      <c r="C776" s="243"/>
      <c r="D776" s="254">
        <v>2021</v>
      </c>
      <c r="E776" s="185">
        <v>0</v>
      </c>
      <c r="F776" s="251">
        <v>0</v>
      </c>
      <c r="G776" s="185">
        <v>0</v>
      </c>
      <c r="H776" s="185">
        <v>0</v>
      </c>
      <c r="I776" s="185">
        <v>0</v>
      </c>
      <c r="J776" s="185">
        <v>0</v>
      </c>
      <c r="K776" s="106"/>
      <c r="L776" s="107"/>
      <c r="M776" s="223"/>
      <c r="N776" s="223"/>
    </row>
    <row r="777" spans="1:14" ht="30" customHeight="1" thickBot="1" x14ac:dyDescent="0.3">
      <c r="A777" s="20"/>
      <c r="B777" s="246"/>
      <c r="C777" s="243"/>
      <c r="D777" s="254">
        <v>2022</v>
      </c>
      <c r="E777" s="185">
        <v>0</v>
      </c>
      <c r="F777" s="251">
        <v>0</v>
      </c>
      <c r="G777" s="185">
        <v>0</v>
      </c>
      <c r="H777" s="185">
        <v>0</v>
      </c>
      <c r="I777" s="185">
        <v>0</v>
      </c>
      <c r="J777" s="185">
        <v>0</v>
      </c>
      <c r="K777" s="106"/>
      <c r="L777" s="107"/>
      <c r="M777" s="223"/>
      <c r="N777" s="223"/>
    </row>
    <row r="778" spans="1:14" ht="30" customHeight="1" thickBot="1" x14ac:dyDescent="0.3">
      <c r="A778" s="20"/>
      <c r="B778" s="246"/>
      <c r="C778" s="243"/>
      <c r="D778" s="254">
        <v>2023</v>
      </c>
      <c r="E778" s="185">
        <v>0</v>
      </c>
      <c r="F778" s="251">
        <v>0</v>
      </c>
      <c r="G778" s="185">
        <v>0</v>
      </c>
      <c r="H778" s="185">
        <f>I778</f>
        <v>0</v>
      </c>
      <c r="I778" s="185">
        <v>0</v>
      </c>
      <c r="J778" s="185">
        <v>0</v>
      </c>
      <c r="K778" s="106"/>
      <c r="L778" s="107"/>
      <c r="M778" s="223"/>
      <c r="N778" s="223"/>
    </row>
    <row r="779" spans="1:14" ht="30" customHeight="1" thickBot="1" x14ac:dyDescent="0.3">
      <c r="A779" s="20"/>
      <c r="B779" s="246"/>
      <c r="C779" s="243"/>
      <c r="D779" s="254">
        <v>2024</v>
      </c>
      <c r="E779" s="185">
        <v>0</v>
      </c>
      <c r="F779" s="251">
        <v>0</v>
      </c>
      <c r="G779" s="185">
        <v>0</v>
      </c>
      <c r="H779" s="248">
        <v>0</v>
      </c>
      <c r="I779" s="248">
        <v>0</v>
      </c>
      <c r="J779" s="185">
        <v>0</v>
      </c>
      <c r="K779" s="106"/>
      <c r="L779" s="107"/>
      <c r="M779" s="223"/>
      <c r="N779" s="223"/>
    </row>
    <row r="780" spans="1:14" ht="30" customHeight="1" thickBot="1" x14ac:dyDescent="0.3">
      <c r="A780" s="20"/>
      <c r="B780" s="246"/>
      <c r="C780" s="255"/>
      <c r="D780" s="256">
        <v>2025</v>
      </c>
      <c r="E780" s="257">
        <v>0</v>
      </c>
      <c r="F780" s="258">
        <v>0</v>
      </c>
      <c r="G780" s="257">
        <v>0</v>
      </c>
      <c r="H780" s="259">
        <v>0</v>
      </c>
      <c r="I780" s="259">
        <v>0</v>
      </c>
      <c r="J780" s="257">
        <v>0</v>
      </c>
      <c r="K780" s="106"/>
      <c r="L780" s="107"/>
      <c r="M780" s="223"/>
      <c r="N780" s="223"/>
    </row>
    <row r="781" spans="1:14" s="135" customFormat="1" ht="30" customHeight="1" thickBot="1" x14ac:dyDescent="0.3">
      <c r="A781" s="21"/>
      <c r="B781" s="249"/>
      <c r="C781" s="260"/>
      <c r="D781" s="261">
        <v>2026</v>
      </c>
      <c r="E781" s="245">
        <v>0</v>
      </c>
      <c r="F781" s="262">
        <v>0</v>
      </c>
      <c r="G781" s="245">
        <v>0</v>
      </c>
      <c r="H781" s="263">
        <v>0</v>
      </c>
      <c r="I781" s="263">
        <v>0</v>
      </c>
      <c r="J781" s="245">
        <v>0</v>
      </c>
      <c r="K781" s="114"/>
      <c r="L781" s="115"/>
      <c r="M781" s="264"/>
      <c r="N781" s="264"/>
    </row>
    <row r="782" spans="1:14" ht="35.1" customHeight="1" thickBot="1" x14ac:dyDescent="0.3">
      <c r="A782" s="19" t="s">
        <v>315</v>
      </c>
      <c r="B782" s="242" t="s">
        <v>321</v>
      </c>
      <c r="C782" s="243"/>
      <c r="D782" s="254">
        <v>2018</v>
      </c>
      <c r="E782" s="185">
        <v>0</v>
      </c>
      <c r="F782" s="251">
        <v>0</v>
      </c>
      <c r="G782" s="185">
        <v>0</v>
      </c>
      <c r="H782" s="185">
        <v>0</v>
      </c>
      <c r="I782" s="185">
        <v>0</v>
      </c>
      <c r="J782" s="185">
        <v>0</v>
      </c>
      <c r="K782" s="100" t="s">
        <v>188</v>
      </c>
      <c r="L782" s="101" t="s">
        <v>31</v>
      </c>
      <c r="M782" s="223"/>
      <c r="N782" s="223"/>
    </row>
    <row r="783" spans="1:14" ht="35.1" customHeight="1" thickBot="1" x14ac:dyDescent="0.3">
      <c r="A783" s="20"/>
      <c r="B783" s="246"/>
      <c r="C783" s="243"/>
      <c r="D783" s="254">
        <v>2019</v>
      </c>
      <c r="E783" s="185">
        <v>0</v>
      </c>
      <c r="F783" s="251">
        <v>0</v>
      </c>
      <c r="G783" s="185">
        <v>0</v>
      </c>
      <c r="H783" s="185">
        <v>0</v>
      </c>
      <c r="I783" s="185">
        <v>0</v>
      </c>
      <c r="J783" s="185">
        <v>0</v>
      </c>
      <c r="K783" s="106"/>
      <c r="L783" s="107"/>
      <c r="M783" s="223"/>
      <c r="N783" s="223"/>
    </row>
    <row r="784" spans="1:14" ht="35.1" customHeight="1" thickBot="1" x14ac:dyDescent="0.3">
      <c r="A784" s="20"/>
      <c r="B784" s="246"/>
      <c r="C784" s="243"/>
      <c r="D784" s="254">
        <v>2020</v>
      </c>
      <c r="E784" s="185">
        <v>0</v>
      </c>
      <c r="F784" s="251">
        <v>0</v>
      </c>
      <c r="G784" s="185">
        <v>0</v>
      </c>
      <c r="H784" s="185">
        <v>0</v>
      </c>
      <c r="I784" s="185">
        <v>0</v>
      </c>
      <c r="J784" s="185">
        <v>0</v>
      </c>
      <c r="K784" s="106"/>
      <c r="L784" s="107"/>
      <c r="M784" s="223"/>
      <c r="N784" s="223"/>
    </row>
    <row r="785" spans="1:14" ht="35.1" customHeight="1" thickBot="1" x14ac:dyDescent="0.3">
      <c r="A785" s="20"/>
      <c r="B785" s="246"/>
      <c r="C785" s="243"/>
      <c r="D785" s="254">
        <v>2021</v>
      </c>
      <c r="E785" s="185">
        <v>0</v>
      </c>
      <c r="F785" s="251">
        <v>0</v>
      </c>
      <c r="G785" s="185">
        <v>0</v>
      </c>
      <c r="H785" s="185">
        <v>0</v>
      </c>
      <c r="I785" s="185">
        <v>0</v>
      </c>
      <c r="J785" s="185">
        <v>0</v>
      </c>
      <c r="K785" s="106"/>
      <c r="L785" s="107"/>
      <c r="M785" s="223"/>
      <c r="N785" s="223"/>
    </row>
    <row r="786" spans="1:14" ht="35.1" customHeight="1" thickBot="1" x14ac:dyDescent="0.3">
      <c r="A786" s="20"/>
      <c r="B786" s="246"/>
      <c r="C786" s="243"/>
      <c r="D786" s="254">
        <v>2022</v>
      </c>
      <c r="E786" s="185">
        <v>0</v>
      </c>
      <c r="F786" s="251">
        <v>0</v>
      </c>
      <c r="G786" s="185">
        <v>0</v>
      </c>
      <c r="H786" s="185">
        <v>0</v>
      </c>
      <c r="I786" s="185">
        <v>0</v>
      </c>
      <c r="J786" s="185">
        <v>0</v>
      </c>
      <c r="K786" s="106"/>
      <c r="L786" s="107"/>
      <c r="M786" s="223"/>
      <c r="N786" s="223"/>
    </row>
    <row r="787" spans="1:14" ht="35.1" customHeight="1" thickBot="1" x14ac:dyDescent="0.3">
      <c r="A787" s="20"/>
      <c r="B787" s="246"/>
      <c r="C787" s="243"/>
      <c r="D787" s="254">
        <v>2023</v>
      </c>
      <c r="E787" s="185">
        <v>0</v>
      </c>
      <c r="F787" s="251">
        <v>0</v>
      </c>
      <c r="G787" s="185">
        <v>0</v>
      </c>
      <c r="H787" s="185">
        <v>0</v>
      </c>
      <c r="I787" s="185">
        <v>0</v>
      </c>
      <c r="J787" s="185">
        <v>0</v>
      </c>
      <c r="K787" s="106"/>
      <c r="L787" s="107"/>
      <c r="M787" s="223"/>
      <c r="N787" s="223"/>
    </row>
    <row r="788" spans="1:14" ht="35.1" customHeight="1" thickBot="1" x14ac:dyDescent="0.3">
      <c r="A788" s="20"/>
      <c r="B788" s="246"/>
      <c r="C788" s="243"/>
      <c r="D788" s="254">
        <v>2024</v>
      </c>
      <c r="E788" s="185">
        <f>F788+G788+H788+J788</f>
        <v>0</v>
      </c>
      <c r="F788" s="251">
        <v>0</v>
      </c>
      <c r="G788" s="185">
        <v>0</v>
      </c>
      <c r="H788" s="248">
        <v>0</v>
      </c>
      <c r="I788" s="248">
        <v>0</v>
      </c>
      <c r="J788" s="185">
        <v>0</v>
      </c>
      <c r="K788" s="106"/>
      <c r="L788" s="107"/>
      <c r="M788" s="223"/>
      <c r="N788" s="223"/>
    </row>
    <row r="789" spans="1:14" ht="35.1" customHeight="1" thickBot="1" x14ac:dyDescent="0.3">
      <c r="A789" s="20"/>
      <c r="B789" s="246"/>
      <c r="C789" s="243"/>
      <c r="D789" s="254">
        <v>2025</v>
      </c>
      <c r="E789" s="185">
        <v>0</v>
      </c>
      <c r="F789" s="251">
        <v>0</v>
      </c>
      <c r="G789" s="185">
        <v>0</v>
      </c>
      <c r="H789" s="248">
        <v>0</v>
      </c>
      <c r="I789" s="248">
        <v>0</v>
      </c>
      <c r="J789" s="185">
        <v>0</v>
      </c>
      <c r="K789" s="106"/>
      <c r="L789" s="107"/>
      <c r="M789" s="223"/>
      <c r="N789" s="223"/>
    </row>
    <row r="790" spans="1:14" ht="35.1" customHeight="1" thickBot="1" x14ac:dyDescent="0.3">
      <c r="A790" s="21"/>
      <c r="B790" s="249"/>
      <c r="C790" s="243"/>
      <c r="D790" s="252">
        <v>2026</v>
      </c>
      <c r="E790" s="185">
        <v>0</v>
      </c>
      <c r="F790" s="251">
        <v>0</v>
      </c>
      <c r="G790" s="185">
        <v>0</v>
      </c>
      <c r="H790" s="248">
        <v>0</v>
      </c>
      <c r="I790" s="248">
        <v>0</v>
      </c>
      <c r="J790" s="185">
        <v>0</v>
      </c>
      <c r="K790" s="114"/>
      <c r="L790" s="115"/>
      <c r="M790" s="223"/>
      <c r="N790" s="223"/>
    </row>
    <row r="791" spans="1:14" ht="26.1" customHeight="1" thickBot="1" x14ac:dyDescent="0.3">
      <c r="A791" s="19" t="s">
        <v>316</v>
      </c>
      <c r="B791" s="242" t="s">
        <v>317</v>
      </c>
      <c r="C791" s="243"/>
      <c r="D791" s="253">
        <v>2018</v>
      </c>
      <c r="E791" s="185">
        <v>0</v>
      </c>
      <c r="F791" s="185">
        <v>0</v>
      </c>
      <c r="G791" s="185">
        <v>0</v>
      </c>
      <c r="H791" s="185">
        <v>0</v>
      </c>
      <c r="I791" s="185">
        <v>0</v>
      </c>
      <c r="J791" s="185">
        <v>0</v>
      </c>
      <c r="K791" s="100" t="s">
        <v>203</v>
      </c>
      <c r="L791" s="101" t="s">
        <v>31</v>
      </c>
      <c r="M791" s="223"/>
      <c r="N791" s="223"/>
    </row>
    <row r="792" spans="1:14" ht="26.1" customHeight="1" thickBot="1" x14ac:dyDescent="0.3">
      <c r="A792" s="20"/>
      <c r="B792" s="246"/>
      <c r="C792" s="243"/>
      <c r="D792" s="254">
        <v>2019</v>
      </c>
      <c r="E792" s="185">
        <v>0</v>
      </c>
      <c r="F792" s="185">
        <v>0</v>
      </c>
      <c r="G792" s="185">
        <v>0</v>
      </c>
      <c r="H792" s="185">
        <v>0</v>
      </c>
      <c r="I792" s="185">
        <v>0</v>
      </c>
      <c r="J792" s="185">
        <v>0</v>
      </c>
      <c r="K792" s="106"/>
      <c r="L792" s="107"/>
      <c r="M792" s="223"/>
      <c r="N792" s="223"/>
    </row>
    <row r="793" spans="1:14" ht="26.1" customHeight="1" thickBot="1" x14ac:dyDescent="0.3">
      <c r="A793" s="20"/>
      <c r="B793" s="246"/>
      <c r="C793" s="243"/>
      <c r="D793" s="254">
        <v>2020</v>
      </c>
      <c r="E793" s="185">
        <v>0</v>
      </c>
      <c r="F793" s="185">
        <v>0</v>
      </c>
      <c r="G793" s="185">
        <v>0</v>
      </c>
      <c r="H793" s="185">
        <v>0</v>
      </c>
      <c r="I793" s="185">
        <v>0</v>
      </c>
      <c r="J793" s="185">
        <v>0</v>
      </c>
      <c r="K793" s="106"/>
      <c r="L793" s="107"/>
      <c r="M793" s="223"/>
      <c r="N793" s="223"/>
    </row>
    <row r="794" spans="1:14" ht="26.1" customHeight="1" thickBot="1" x14ac:dyDescent="0.3">
      <c r="A794" s="20"/>
      <c r="B794" s="246"/>
      <c r="C794" s="243"/>
      <c r="D794" s="254">
        <v>2021</v>
      </c>
      <c r="E794" s="185">
        <v>0</v>
      </c>
      <c r="F794" s="185">
        <v>0</v>
      </c>
      <c r="G794" s="185">
        <v>0</v>
      </c>
      <c r="H794" s="185">
        <v>0</v>
      </c>
      <c r="I794" s="185">
        <v>0</v>
      </c>
      <c r="J794" s="185">
        <v>0</v>
      </c>
      <c r="K794" s="106"/>
      <c r="L794" s="107"/>
      <c r="M794" s="223"/>
      <c r="N794" s="223"/>
    </row>
    <row r="795" spans="1:14" ht="26.1" customHeight="1" thickBot="1" x14ac:dyDescent="0.3">
      <c r="A795" s="20"/>
      <c r="B795" s="246"/>
      <c r="C795" s="243"/>
      <c r="D795" s="254">
        <v>2022</v>
      </c>
      <c r="E795" s="185">
        <v>0</v>
      </c>
      <c r="F795" s="185">
        <v>0</v>
      </c>
      <c r="G795" s="185">
        <v>0</v>
      </c>
      <c r="H795" s="185">
        <v>0</v>
      </c>
      <c r="I795" s="185">
        <v>0</v>
      </c>
      <c r="J795" s="185">
        <v>0</v>
      </c>
      <c r="K795" s="106"/>
      <c r="L795" s="107"/>
      <c r="M795" s="223"/>
      <c r="N795" s="223"/>
    </row>
    <row r="796" spans="1:14" ht="26.1" customHeight="1" thickBot="1" x14ac:dyDescent="0.3">
      <c r="A796" s="20"/>
      <c r="B796" s="246"/>
      <c r="C796" s="243"/>
      <c r="D796" s="254">
        <v>2023</v>
      </c>
      <c r="E796" s="185">
        <v>0</v>
      </c>
      <c r="F796" s="185">
        <v>0</v>
      </c>
      <c r="G796" s="185">
        <v>0</v>
      </c>
      <c r="H796" s="185">
        <v>0</v>
      </c>
      <c r="I796" s="185">
        <v>0</v>
      </c>
      <c r="J796" s="185">
        <v>0</v>
      </c>
      <c r="K796" s="106"/>
      <c r="L796" s="107"/>
      <c r="M796" s="223"/>
      <c r="N796" s="223"/>
    </row>
    <row r="797" spans="1:14" ht="26.1" customHeight="1" thickBot="1" x14ac:dyDescent="0.3">
      <c r="A797" s="20"/>
      <c r="B797" s="246"/>
      <c r="C797" s="243"/>
      <c r="D797" s="254">
        <v>2024</v>
      </c>
      <c r="E797" s="185">
        <v>0</v>
      </c>
      <c r="F797" s="185">
        <v>0</v>
      </c>
      <c r="G797" s="185">
        <v>0</v>
      </c>
      <c r="H797" s="185">
        <f>I797</f>
        <v>0</v>
      </c>
      <c r="I797" s="185">
        <v>0</v>
      </c>
      <c r="J797" s="185">
        <v>0</v>
      </c>
      <c r="K797" s="106"/>
      <c r="L797" s="107"/>
      <c r="M797" s="223"/>
      <c r="N797" s="223"/>
    </row>
    <row r="798" spans="1:14" ht="26.1" customHeight="1" thickBot="1" x14ac:dyDescent="0.3">
      <c r="A798" s="20"/>
      <c r="B798" s="246"/>
      <c r="C798" s="243"/>
      <c r="D798" s="254">
        <v>2025</v>
      </c>
      <c r="E798" s="185">
        <v>0</v>
      </c>
      <c r="F798" s="185">
        <v>0</v>
      </c>
      <c r="G798" s="185">
        <v>0</v>
      </c>
      <c r="H798" s="185">
        <f>I798</f>
        <v>0</v>
      </c>
      <c r="I798" s="185">
        <v>0</v>
      </c>
      <c r="J798" s="185">
        <v>0</v>
      </c>
      <c r="K798" s="106"/>
      <c r="L798" s="107"/>
      <c r="M798" s="223"/>
      <c r="N798" s="223"/>
    </row>
    <row r="799" spans="1:14" ht="26.1" customHeight="1" thickBot="1" x14ac:dyDescent="0.3">
      <c r="A799" s="21"/>
      <c r="B799" s="249"/>
      <c r="C799" s="243"/>
      <c r="D799" s="252">
        <v>2026</v>
      </c>
      <c r="E799" s="185">
        <v>0</v>
      </c>
      <c r="F799" s="185">
        <v>0</v>
      </c>
      <c r="G799" s="185">
        <v>0</v>
      </c>
      <c r="H799" s="185">
        <f>I799</f>
        <v>0</v>
      </c>
      <c r="I799" s="185">
        <v>0</v>
      </c>
      <c r="J799" s="185">
        <v>0</v>
      </c>
      <c r="K799" s="114"/>
      <c r="L799" s="115"/>
      <c r="M799" s="223"/>
      <c r="N799" s="223"/>
    </row>
    <row r="800" spans="1:14" ht="33" customHeight="1" thickBot="1" x14ac:dyDescent="0.3">
      <c r="A800" s="19" t="s">
        <v>318</v>
      </c>
      <c r="B800" s="242" t="s">
        <v>319</v>
      </c>
      <c r="C800" s="243"/>
      <c r="D800" s="253">
        <v>2018</v>
      </c>
      <c r="E800" s="185">
        <v>0</v>
      </c>
      <c r="F800" s="185">
        <v>0</v>
      </c>
      <c r="G800" s="185">
        <v>0</v>
      </c>
      <c r="H800" s="185">
        <v>0</v>
      </c>
      <c r="I800" s="185">
        <v>0</v>
      </c>
      <c r="J800" s="185">
        <v>0</v>
      </c>
      <c r="K800" s="265" t="s">
        <v>325</v>
      </c>
      <c r="L800" s="101" t="s">
        <v>19</v>
      </c>
      <c r="M800" s="223"/>
      <c r="N800" s="223"/>
    </row>
    <row r="801" spans="1:14" ht="33" customHeight="1" thickBot="1" x14ac:dyDescent="0.3">
      <c r="A801" s="20"/>
      <c r="B801" s="246"/>
      <c r="C801" s="243"/>
      <c r="D801" s="254">
        <v>2019</v>
      </c>
      <c r="E801" s="185">
        <v>0</v>
      </c>
      <c r="F801" s="185">
        <v>0</v>
      </c>
      <c r="G801" s="185">
        <v>0</v>
      </c>
      <c r="H801" s="185">
        <v>0</v>
      </c>
      <c r="I801" s="185">
        <v>0</v>
      </c>
      <c r="J801" s="185">
        <v>0</v>
      </c>
      <c r="K801" s="266"/>
      <c r="L801" s="107"/>
      <c r="M801" s="223"/>
      <c r="N801" s="223"/>
    </row>
    <row r="802" spans="1:14" ht="33" customHeight="1" thickBot="1" x14ac:dyDescent="0.3">
      <c r="A802" s="20"/>
      <c r="B802" s="246"/>
      <c r="C802" s="243"/>
      <c r="D802" s="254">
        <v>2020</v>
      </c>
      <c r="E802" s="185">
        <v>0</v>
      </c>
      <c r="F802" s="185">
        <v>0</v>
      </c>
      <c r="G802" s="185">
        <v>0</v>
      </c>
      <c r="H802" s="185">
        <v>0</v>
      </c>
      <c r="I802" s="185">
        <v>0</v>
      </c>
      <c r="J802" s="185">
        <v>0</v>
      </c>
      <c r="K802" s="266"/>
      <c r="L802" s="107"/>
      <c r="M802" s="223"/>
      <c r="N802" s="223"/>
    </row>
    <row r="803" spans="1:14" ht="33" customHeight="1" thickBot="1" x14ac:dyDescent="0.3">
      <c r="A803" s="20"/>
      <c r="B803" s="246"/>
      <c r="C803" s="243"/>
      <c r="D803" s="254">
        <v>2021</v>
      </c>
      <c r="E803" s="185">
        <v>0</v>
      </c>
      <c r="F803" s="185">
        <v>0</v>
      </c>
      <c r="G803" s="185">
        <v>0</v>
      </c>
      <c r="H803" s="185">
        <v>0</v>
      </c>
      <c r="I803" s="185">
        <v>0</v>
      </c>
      <c r="J803" s="185">
        <v>0</v>
      </c>
      <c r="K803" s="266"/>
      <c r="L803" s="107"/>
      <c r="M803" s="223"/>
      <c r="N803" s="223"/>
    </row>
    <row r="804" spans="1:14" ht="33" customHeight="1" thickBot="1" x14ac:dyDescent="0.3">
      <c r="A804" s="20"/>
      <c r="B804" s="246"/>
      <c r="C804" s="243"/>
      <c r="D804" s="254">
        <v>2022</v>
      </c>
      <c r="E804" s="185">
        <v>0</v>
      </c>
      <c r="F804" s="185">
        <v>0</v>
      </c>
      <c r="G804" s="185">
        <v>0</v>
      </c>
      <c r="H804" s="185">
        <v>0</v>
      </c>
      <c r="I804" s="185">
        <v>0</v>
      </c>
      <c r="J804" s="185">
        <v>0</v>
      </c>
      <c r="K804" s="266"/>
      <c r="L804" s="107"/>
      <c r="M804" s="223"/>
      <c r="N804" s="223"/>
    </row>
    <row r="805" spans="1:14" ht="33" customHeight="1" thickBot="1" x14ac:dyDescent="0.3">
      <c r="A805" s="20"/>
      <c r="B805" s="246"/>
      <c r="C805" s="243"/>
      <c r="D805" s="254">
        <v>2023</v>
      </c>
      <c r="E805" s="185">
        <v>0</v>
      </c>
      <c r="F805" s="185">
        <v>0</v>
      </c>
      <c r="G805" s="185">
        <v>0</v>
      </c>
      <c r="H805" s="185">
        <v>0</v>
      </c>
      <c r="I805" s="185">
        <v>0</v>
      </c>
      <c r="J805" s="185">
        <v>0</v>
      </c>
      <c r="K805" s="266"/>
      <c r="L805" s="107"/>
      <c r="M805" s="223"/>
      <c r="N805" s="223"/>
    </row>
    <row r="806" spans="1:14" ht="33" customHeight="1" thickBot="1" x14ac:dyDescent="0.3">
      <c r="A806" s="20"/>
      <c r="B806" s="246"/>
      <c r="C806" s="243"/>
      <c r="D806" s="254">
        <v>2024</v>
      </c>
      <c r="E806" s="185">
        <v>0</v>
      </c>
      <c r="F806" s="185">
        <v>0</v>
      </c>
      <c r="G806" s="248">
        <v>0</v>
      </c>
      <c r="H806" s="248">
        <v>0</v>
      </c>
      <c r="I806" s="248">
        <v>0</v>
      </c>
      <c r="J806" s="185">
        <v>0</v>
      </c>
      <c r="K806" s="266"/>
      <c r="L806" s="107"/>
      <c r="M806" s="223"/>
      <c r="N806" s="223"/>
    </row>
    <row r="807" spans="1:14" ht="33" customHeight="1" thickBot="1" x14ac:dyDescent="0.3">
      <c r="A807" s="20"/>
      <c r="B807" s="246"/>
      <c r="C807" s="243"/>
      <c r="D807" s="254">
        <v>2025</v>
      </c>
      <c r="E807" s="185">
        <v>0</v>
      </c>
      <c r="F807" s="185">
        <v>0</v>
      </c>
      <c r="G807" s="248">
        <v>0</v>
      </c>
      <c r="H807" s="248">
        <f>I807</f>
        <v>0</v>
      </c>
      <c r="I807" s="248">
        <v>0</v>
      </c>
      <c r="J807" s="185">
        <v>0</v>
      </c>
      <c r="K807" s="266"/>
      <c r="L807" s="107"/>
      <c r="M807" s="223"/>
      <c r="N807" s="223"/>
    </row>
    <row r="808" spans="1:14" ht="33" customHeight="1" thickBot="1" x14ac:dyDescent="0.3">
      <c r="A808" s="21"/>
      <c r="B808" s="249"/>
      <c r="C808" s="243"/>
      <c r="D808" s="261">
        <v>2026</v>
      </c>
      <c r="E808" s="185">
        <v>0</v>
      </c>
      <c r="F808" s="185">
        <v>0</v>
      </c>
      <c r="G808" s="248">
        <v>0</v>
      </c>
      <c r="H808" s="248">
        <f>I808</f>
        <v>0</v>
      </c>
      <c r="I808" s="248">
        <v>0</v>
      </c>
      <c r="J808" s="185">
        <v>0</v>
      </c>
      <c r="K808" s="267"/>
      <c r="L808" s="115"/>
      <c r="M808" s="223"/>
      <c r="N808" s="223"/>
    </row>
    <row r="809" spans="1:14" ht="19.5" customHeight="1" thickBot="1" x14ac:dyDescent="0.3">
      <c r="A809" s="15"/>
      <c r="B809" s="268"/>
      <c r="C809" s="269">
        <v>0</v>
      </c>
      <c r="D809" s="270" t="s">
        <v>8</v>
      </c>
      <c r="E809" s="271">
        <f>F809+G809+H809+J809</f>
        <v>16798890.59999999</v>
      </c>
      <c r="F809" s="272">
        <f>F68+F69+F70+F71+F72+F73+F74+F75+F76+F77+F78+F79+F80+F81+F82+F83+F84+F85+F86+F87+F88+F89+F90+F91+F92+F93+F94+F95+F96+F97+F98+F99+F100+F101+F102+F103+F104+F105+F106+F107+F108+F109+F110+F111+F112+F113+F114+F115+F116+F117+F118+F119+F120+F121+F122+F123+F124+F125+F126+F127+F128+F129+F130+F131+F132+F133+F134+F135+F136+F137+F138+F139+F140+F141+F142+F143+F144+F145+F146+F147+F148+F150+F149+F151+F152+F153+F154+F155+F156+F157+F158+F159+F160+F161+F162+F163+F164+F165+F166+F167+F168+F169+F170+F171+F172+F173+F174+F175+F176+F177+F178+F179+F180+F181+F182+F183+F184+F185+F186+F187+F188+F189+F190+F191+F192+F193+F194+F195+F196+F197+F198+F199+F200+F201+F202+F203+F204+F205+F206+F207+F208+F209+F210+F211+F212+F213+F214+F215+F216+F217+F218+F219+F220+F221+F222+F223+F224+F225+F226+F227+F228+F229+F230+F231+F232+F233+F234+F235+F236+F237+F238+F239+F240+F241+F242+F243+F244+F245+F246+F247+F248+F249+F250+F251+F252+F253+F254+F255+F256+F260+F261+F262+F263+F264+F265+F266+F267+F268+F269+F270+F271+F272+F273+F274+F275+F276+F277+F278+F279+F280+F281+F282+F283+F284+F285+F286+F287+F288+F289+F290+F291+F292+F293+F294+F295+F296+F297+F298+F299+F300+F301+F302+F303+F304+F305+F306+F307+F308+F309+F310+F311+F312+F313+F314+F315+F316+F317+F318+F319+F320+F321+F322+F323+F324+F325+F326+F327+F328+F329+F330+F331+F332+F333+F334+F335+F336+F337+F338+F339+F340+F341+F342+F343+F344+F345+F346+F347+F348+F349+F350+F351+F352+F353+F354+F355+F356+F357+F358+F359+F360+F361+F362+F363+F364+F365+F366+F367+F368+F369+F370+F371+F372+F373+F374+F375+F376+F377+F378+F379+F380+F381+F382+F383+F384+F385+F386+F387+F388+F389+F390+F391+F392+F393+F394+F395+F396+F397+F398+F399+F400+F401+F402+F403+F404+F405+F406+F407+F408+F409+F410+F411+F412+F413+F414+F415+F416+F417+F418+F419+F420+F421+F422+F423+F424+F425+F426+F427+F428+F429+F430+F431+F432+F433+F434+F435+F436+F437+F438+F439+F440+F441+F442+F443+F444+F445+F446+F447+F448+F449+F450+F451+F452+F453+F454+F455+F456+F457+F458+F459+F460+F461+F462+F463+F464+F465+F466+F467+F468+F469+F470+F471+F472+F473+F474+F475+F476+F477+F478+F479+F480+F481+F482+F483+F484+F485+F486+F487+F488+F489+F490+F491+F492+F493+F494+F495+F496+F497+F498+F499+F500+F501+F502+F503+F504+F505+F506+F507+F508+F509+F510+F511+F512+F513+F514+F515+F516+F517+F518+F519+F520+F521+F522+F523+F524+F525+F526+F527+F528+F529+F530+F531+F532+F533+F534+F535+F536+F537+F538+F539+F540+F541+F542+F543+F544+F545+F546+F547+F548+F549+F550+F551+F552+F553+F554+F555+F556+F557+F558+F559+F560+F561+F562+F563+F564+F565+F566+F567+F568+F569+F570+F571+F572+F573+F574+F575+F576+F577+F578+F579+F580+F581+F582+F583+F584+F585+F586+F587+F588+F589+F590+F591+F592+F593+F594+F595+F596+F597+F598+F599+F600+F601+F602+F603+F604+F605+F606+F607+F608+F609+F610+F611+F612+F613+F614+F615+F616+F617+F618+F619+F620+F621+F622+F623+F624+F625+F626+F627+F628+F629+F630+F631+F632+F633+F634+F635+F636+F637+F638+F639+F640+F641+F642+F643+F644+F645+F646+F647+F648+F649+F650+F651+F652+F653+F654+F655+F656+F657+F658+F659+F660+F661+F662+F663+F664+F665+F666+F667+F668+F669+F670+F671+F672+F673+F674+F675+F676+F677+F678+F679+F680+F681+F682+F683+F684+F685+F686+F687+F688+F689+F690+F691+F692+F693+F694+F695+F696+F697+F698+F699+F700+F701+F702+F703+F704+F705+F706+F707+F708+F709+F710+F711+F712+F713+F714+F715+F716+F717+F718+F719+F720+F721+F722+F723+F724+F725+F726+F727</f>
        <v>294434.3</v>
      </c>
      <c r="G809" s="248">
        <f>G77+G78+G79+G80+G81+G82+G83+G84+G85+G91+G92+G93+G94+G149+G150+G151+G152+G153+G154+G155+G156+G157+G163+G164+G165+G166+G296+G297+G307+G308+G309+G310+G311+G312+G313+G314+G315+G316+G317+G318+G319+G320+G321+G322+G323+G324+G325+G326+G327+G328+G329+G330+G331+G368+G369+G370+G371+G372+G373+G374+G375+G376+G377+G378+G383+G384+G385+G390+G392+G393+G394+G422+G423+G424+G425+G426+G427+G428+G429+G430+G467+G468+G469+G470+G471+G472+G473+G474+G475+G503+G507+G509+G510+G511+G513+G518+G519+G520+G522+G527+G528+G529+G532+G533+G534+G535+G536+G537+G538+G540+G545+G546+G547+G550+G554+G555+G556+G567+G568+G572+G573+G574+G604+G605+G606+G607+G608+G609+G610+G622+G626+G627+G628+G669+G670+G671+G672+G673+G678+G679+G680+G681+G682+G687+G688+G689+G690+G691+G697+G698+G699+G700+G706+G707+G708+G709</f>
        <v>11078376.799999991</v>
      </c>
      <c r="H809" s="248">
        <f>H68+H69+H70+H71+H72+H73+H74+H75+H76+H140+H141+H142+H143+H144+H145+H146+H147+H148+H221+H222+H223+H224+H225+H226+H227+H228+H229+H332+H333+H334+H335+H336+H337+H338+H339+H340+H341+H342+H343+H344+H345+H346+H347++H348+H349+H350+H351+H352+H353+H354+H355+H356+H357+H358+H360+H377+H378+H379+H381+H383+H384+H385+H390+H395+H396+H406+H407+H408+H409+H410+H411+H412+H413+H440+H441+H442+H443+H444+H445+H446+H447+H448+H449+H450+H451+H452+H476+H477+H478+H479+H480+H481+H482+H483+H484+H489+H490+H491+H492+H493++H503+H507+H513+H522+H523+H532+H533+H535+H536+H537+H538+H540+H550+H558+H567+H568+H576+H577+H586+H604+H605+H606+H607+H608+H609+H610+H622+H631+H632+H633+H634+H635+H636+H637+H641+H651+H652+H653+H654+H655+H660+H661+H662++H663+H664+H678+H679+H680+H681+H682+H697+H698+H699+H700+H706+H707+H715+H724+H742+H751+H752+H753+H754+H760+H761+H762+H763+H769+H488</f>
        <v>4434560.1999999993</v>
      </c>
      <c r="I809" s="248">
        <f>I68+I69+I70+I71+I72+I73+I74+I75+I140+I141+I142+I143+I144+I145+I146+I147+I221+I222+I223+I224+I225+I226+I227+I228+I296+I297+I298+I299+I300+I301+I302+I303+I305+I306+I307+I308+I309+I310+I311+I312+I314+I316+I315+I317+I318+I319+I320+I321+I323+I324+I325+I326+I327+I328+I329+I330+I332+I333+I334+I335+I336+I337+I338+I339+I341+I342+I343+I344+I345+I346+I347+I348+I350+I351+I352+I353+I354+I355+I356+I357+I359+I360+I361+I362+I363+I364+I365+I366+I368+I369+I370+I371+I372+I373+I374+I375+I377+I378+I379+I380+I381+I382+I383+I384+I386+I387+I388+I389+I390+I391+I392+I393+I395+I396+I397+I398+I399+I400+I401+I402+I404+I405+I406+I407+I408+I409+I410+I411+I413+I414+I415+I416+I417+I418+I419+I420+I422+I423+I424+I425+I426+I427+I428+I429+I431+I432+I433+I434+I435+I437+I438+I440+I441+I442+I443+I444+I445+I446+I447+I449+I450+I451+I452+I453+I454+I455+I456+I458+I459+I460+I461+I462+I463+I464+I465+I467+I468+I469+I470+I471+I472+I473+I474+I476+I477+I478+I479+I480+I481+I482+I483+I485+I486+I487+I488+I489+I490+I491+I492+I494+I495+I496+I497+I498+I499+I500+I501+I503+I504+I505+I506+I507+I508+I509+I510+I512+I513+I514+I515+I516+I517+I518+I519+I521+I522+I523+I524+I525+I526+I527+I528+I530+I531+I532+I533+I534+I535+I536+I537+I539+I540+I541+I542+I543+I544+I545+I546+I548+I549+I550+I551+I552+I553+I554+I555+I557+I558+I559+I560+I561+I562+I563+I564+I566+I567+I568+I569+I570+I571+I572+I573+I575+I576+I577+I578+I579+I580+I581+I582+I584+I585+I586+I587+I588+I589+I590+I591+I593+I594+I595+I596+I597+I598+I599+I600+I602+I603+I604+I605+I606+I607+I608+I609+I611+I612+I613+I614+I615+I616+I617+I618+I620+I621+I622+I623+I624+I625+I626+I627+I629+I630+I631+I632+I633+I634+I635+I636+I638+I639+I640+I641+I642+I643+I644+I645+I647+I648+I649+I650+I651+I652+I653+I654+I656+I657+I658+I659+I660+I661+I662+I663+I665+I666+I667+I668+I669+I670+I671+I672+I674+I675+I676+I677+I678+I679+I680+I681+I696+I697+I698+I699+I706+I707+I708+0.1+I719+I720+I721+I722+I723+I724+I725+I726+I727+I718+I709+I700+I691+I682+I673+I664+I655+I646+I637+I628+I619+I610+I601+I592+I583+I574+I556+I547+I538+I529+I520+I511+I502+I493+I484+I475+I466+I457+I448+I439+I430+I421+I412+I403+I394+I385+I376+I367+I358+I349+I340+I331+I322+I313+I304+I734-0.1</f>
        <v>89683.999999999985</v>
      </c>
      <c r="J809" s="273">
        <f>J68+J69+J70+J71+J72+J73+J74+J75+J77+J78+J79+J80+J81+J82+J83+J84+J95+J96+J97+J98+J99+J100+J101+J102+J104+J105+J107+J106+J108+J109+J110+J111+J113+J114+J115+J116+J117+J118+J120+J119+J122+J123+J124+J126+J125+J127+J128+J129+J131+J132+J133+J134+J135+J136+J137+J138+J140+J141+J142+J143+J144+J145+J146+J147+J149+J150+J151+J153+J152+J154+J155+J156+J167+J168+J169+J171+J170+J172+J173+J174+J176+J177+J178+J179+J180+J181+J182+J183+J185+J186+J187+J188+J189+J190+J191+J192+J194+J195+J196+J197+J198+J199+J200+J201+J203+J204+J205+J206+J207+J208+J209+J210+J212+J213+J214+J215+J216+J217+J218+J219+J221+J222+J223+J224+J225+J226+J227+J228+J230+J231+J232+J233+J234+J235+J236+J237+J239+J240+J241+J242+J243+J244+J245+J246+J260+J261+J262+J263+J264+J265+J266+J267+J269+J270+J271+J272+J273+J274+J275+J276+J278+J279+J280+J281+J282+J283+J284+J285+J287+J288+J289+J290+J291+J292+J293+J294+J296+J297+J298+J299+J300+J301+J302+J303+J305+J306+J307+J308+J309+J310+J311+J312+J314+J316+J315+J317+J318+J319+J320+J321+J323+J324+J325+J326+J327+J328+J329+J330+J332+J333+J334+J335+J336+J337+J338+J339+J341+J342+J343+J344+J345+J346+J347+J348+J350+J351+J352+J353+J354+J355+J356+J357+J359+J360+J361+J362+J363+J364+J365+J366+J368+J369+J370+J371+J372+J373+J374+J375+J377+J378+J379+J380+J381+J382+J383+J384+J386+J387+J388+J389+J390+J391+J392+J393+J395+J396+J397+J398+J399+J400+J401+J402+J404+J405+J406+J407+J408+J409+J410+J411+J413+J414+J415+J416+J417+J418+J419+J420+J423+J424+J425+J426+J427+J428+J429+J431+J432+J433+J434+J435+J437+J438+J440+J441+J442+J443+J444+J445+J446+J447+J449+J450+J451+J452+J453+J454+J455+J456+J458+J459+J460+J461+J462+J463+J464+J465+J467+J468+J469+J470+J471+J472+J473+J474+J476+J477+J478+J479+J480+J481+J482+J483+J485+J486+J487+J488+J489+J490+J491+J492+J494+J495+J496+J497+J498+J499+J500+J501+J503+J504+J505+J506+J507+J508+J509+J510+J512+J513+J514+J515+J516+J517+J518+J519+J521+J522+J523+J524+J525+J526+J527+J528+J530+J531+J532+J533+J534+J535+J536+J537+J539+J540+J541+J542+J543+J544+J545+J546+J548+J549+J550+J551+J552+J553+J554+J555+J557+J558+J559+J560+J561+J562+J563+J564+J566+J567+J568+J569+J570+J571+J572+J573+J575+J576+J577+J578+J579+J580+J581+J582+J584+J585+J586+J587+J588+J589+J590+J591+J593+J594+J595+J596+J597+J598+J599+J600+J602+J603+J604+J605+J606+J607+J608+J609+J611+J612+J613+J614+J615+J616+J617+J618+J620+J621+J622+J623+J624+J625+J626+J627+J629+J630+J631+J632+J633+J634+J635+J636+J638+J639+J640+J641+J642+J643+J644+J645+J647+J648+J649+J650+J651+J652+J653+J654+J656+J657+J658+J659+J660+J661+J662+J663+J665+J666+J667+J668+J669+J670+J671+J672+J674+J675+J676+J677+J678+J679+J680+J681+J727+J718+J709+J700+J691+J682+J673+J664+J655+J646+J637+J628+J619+J610+J601+J592+J583+J574+J556+J547+J538+J529+J520+J511+J502+J493+J484+J475+J466+J457+J448+J439+J430+J421+J412+J403+J394+J385+J376+J367+J358+J349+J340+J331+J322+J313+J304+J220+J139</f>
        <v>991519.29999999993</v>
      </c>
      <c r="K809" s="247"/>
      <c r="L809" s="274"/>
      <c r="M809" s="223">
        <f>I734+I707+I706+I697+I682+I681+I680+I679+I678+I622+I610+I609+I608+I607+I606+I605+I604+I568+I567+I550+I540+I536+I535+I533+I532+I522+I513+I507+I503+I390+I378+I377</f>
        <v>89684.000000000015</v>
      </c>
    </row>
    <row r="810" spans="1:14" ht="20.25" thickBot="1" x14ac:dyDescent="0.35">
      <c r="A810" s="275">
        <v>5</v>
      </c>
      <c r="B810" s="276" t="s">
        <v>346</v>
      </c>
      <c r="C810" s="277"/>
      <c r="D810" s="277"/>
      <c r="E810" s="277"/>
      <c r="F810" s="277"/>
      <c r="G810" s="277"/>
      <c r="H810" s="277"/>
      <c r="I810" s="277"/>
      <c r="J810" s="277"/>
      <c r="K810" s="277"/>
      <c r="L810" s="278"/>
      <c r="M810" s="223" t="e">
        <f>#REF!-H809</f>
        <v>#REF!</v>
      </c>
    </row>
    <row r="811" spans="1:14" ht="27.75" customHeight="1" thickBot="1" x14ac:dyDescent="0.3">
      <c r="A811" s="279" t="s">
        <v>168</v>
      </c>
      <c r="B811" s="280"/>
      <c r="C811" s="280"/>
      <c r="D811" s="280"/>
      <c r="E811" s="280"/>
      <c r="F811" s="280"/>
      <c r="G811" s="280"/>
      <c r="H811" s="280"/>
      <c r="I811" s="280"/>
      <c r="J811" s="280"/>
      <c r="K811" s="280"/>
      <c r="L811" s="281"/>
      <c r="M811" s="223">
        <f>M812-G809</f>
        <v>-727119.8999999892</v>
      </c>
    </row>
    <row r="812" spans="1:14" ht="23.1" customHeight="1" x14ac:dyDescent="0.25">
      <c r="A812" s="16" t="s">
        <v>169</v>
      </c>
      <c r="B812" s="218" t="s">
        <v>170</v>
      </c>
      <c r="C812" s="282">
        <v>0</v>
      </c>
      <c r="D812" s="98">
        <v>2018</v>
      </c>
      <c r="E812" s="99">
        <f>F812+G812+H812+J812</f>
        <v>35153.1</v>
      </c>
      <c r="F812" s="99">
        <v>0</v>
      </c>
      <c r="G812" s="99">
        <v>8142.6</v>
      </c>
      <c r="H812" s="99">
        <v>27010.5</v>
      </c>
      <c r="I812" s="99">
        <v>0</v>
      </c>
      <c r="J812" s="99">
        <v>0</v>
      </c>
      <c r="K812" s="162" t="s">
        <v>171</v>
      </c>
      <c r="L812" s="163" t="s">
        <v>172</v>
      </c>
      <c r="M812" s="223">
        <f>SUM(G638:G681,G593:G636,G548:G591,G503:G546,G449:G501,G404:G447,G359:G402,G314:G357,G260:G312,G194:G246,G149:G192,G95:G138,G77:G84)</f>
        <v>10351256.900000002</v>
      </c>
    </row>
    <row r="813" spans="1:14" ht="23.1" customHeight="1" x14ac:dyDescent="0.25">
      <c r="A813" s="17"/>
      <c r="B813" s="219"/>
      <c r="C813" s="108">
        <v>0</v>
      </c>
      <c r="D813" s="104">
        <v>2019</v>
      </c>
      <c r="E813" s="105">
        <f t="shared" ref="E813:E828" si="28">F813+G813+H813+J813</f>
        <v>38169.300000000003</v>
      </c>
      <c r="F813" s="105">
        <v>0</v>
      </c>
      <c r="G813" s="105">
        <v>8689.5</v>
      </c>
      <c r="H813" s="105">
        <v>29479.8</v>
      </c>
      <c r="I813" s="105">
        <v>0</v>
      </c>
      <c r="J813" s="105">
        <v>0</v>
      </c>
      <c r="K813" s="165"/>
      <c r="L813" s="166"/>
    </row>
    <row r="814" spans="1:14" ht="23.1" customHeight="1" x14ac:dyDescent="0.25">
      <c r="A814" s="17"/>
      <c r="B814" s="219"/>
      <c r="C814" s="108">
        <v>0</v>
      </c>
      <c r="D814" s="108">
        <v>2020</v>
      </c>
      <c r="E814" s="105">
        <f t="shared" si="28"/>
        <v>42060.7</v>
      </c>
      <c r="F814" s="122">
        <v>0</v>
      </c>
      <c r="G814" s="105">
        <v>10752.9</v>
      </c>
      <c r="H814" s="105">
        <v>31307.8</v>
      </c>
      <c r="I814" s="105">
        <v>0</v>
      </c>
      <c r="J814" s="105">
        <v>0</v>
      </c>
      <c r="K814" s="165"/>
      <c r="L814" s="166"/>
    </row>
    <row r="815" spans="1:14" ht="23.1" customHeight="1" x14ac:dyDescent="0.25">
      <c r="A815" s="17"/>
      <c r="B815" s="219"/>
      <c r="C815" s="283">
        <v>0</v>
      </c>
      <c r="D815" s="108">
        <v>2021</v>
      </c>
      <c r="E815" s="105">
        <f t="shared" si="28"/>
        <v>43966.7</v>
      </c>
      <c r="F815" s="122">
        <v>0</v>
      </c>
      <c r="G815" s="105">
        <v>13600.6</v>
      </c>
      <c r="H815" s="105">
        <v>30366.1</v>
      </c>
      <c r="I815" s="105">
        <v>0</v>
      </c>
      <c r="J815" s="105">
        <v>0</v>
      </c>
      <c r="K815" s="165"/>
      <c r="L815" s="166"/>
    </row>
    <row r="816" spans="1:14" ht="23.1" customHeight="1" x14ac:dyDescent="0.25">
      <c r="A816" s="17"/>
      <c r="B816" s="219"/>
      <c r="C816" s="283">
        <v>0</v>
      </c>
      <c r="D816" s="108">
        <v>2022</v>
      </c>
      <c r="E816" s="105">
        <f t="shared" si="28"/>
        <v>50085</v>
      </c>
      <c r="F816" s="122">
        <v>0</v>
      </c>
      <c r="G816" s="105">
        <f>13383.8+35.2+849+134.9+461.4</f>
        <v>14864.3</v>
      </c>
      <c r="H816" s="105">
        <v>35220.699999999997</v>
      </c>
      <c r="I816" s="105">
        <v>0</v>
      </c>
      <c r="J816" s="105">
        <v>0</v>
      </c>
      <c r="K816" s="165"/>
      <c r="L816" s="166"/>
    </row>
    <row r="817" spans="1:13" ht="23.1" customHeight="1" x14ac:dyDescent="0.25">
      <c r="A817" s="17"/>
      <c r="B817" s="219"/>
      <c r="C817" s="283">
        <v>0</v>
      </c>
      <c r="D817" s="108">
        <v>2023</v>
      </c>
      <c r="E817" s="105">
        <f t="shared" si="28"/>
        <v>52728.9</v>
      </c>
      <c r="F817" s="122">
        <v>0</v>
      </c>
      <c r="G817" s="105">
        <f>15525.3+25.6+24.1</f>
        <v>15575</v>
      </c>
      <c r="H817" s="105">
        <f>36821.5+332.4</f>
        <v>37153.9</v>
      </c>
      <c r="I817" s="105">
        <v>0</v>
      </c>
      <c r="J817" s="105">
        <v>0</v>
      </c>
      <c r="K817" s="165"/>
      <c r="L817" s="166"/>
    </row>
    <row r="818" spans="1:13" ht="23.1" customHeight="1" x14ac:dyDescent="0.25">
      <c r="A818" s="17"/>
      <c r="B818" s="219"/>
      <c r="C818" s="283">
        <v>0</v>
      </c>
      <c r="D818" s="108">
        <v>2024</v>
      </c>
      <c r="E818" s="105">
        <f t="shared" si="28"/>
        <v>71275.199999999997</v>
      </c>
      <c r="F818" s="122">
        <v>0</v>
      </c>
      <c r="G818" s="105">
        <f>16939.6+246-723+2449.4</f>
        <v>18912</v>
      </c>
      <c r="H818" s="123">
        <f>40756.1+6454+1894.9+3258.2</f>
        <v>52363.199999999997</v>
      </c>
      <c r="I818" s="105">
        <v>0</v>
      </c>
      <c r="J818" s="105">
        <v>0</v>
      </c>
      <c r="K818" s="165"/>
      <c r="L818" s="166"/>
    </row>
    <row r="819" spans="1:13" ht="23.1" customHeight="1" x14ac:dyDescent="0.25">
      <c r="A819" s="17"/>
      <c r="B819" s="219"/>
      <c r="C819" s="284">
        <v>0</v>
      </c>
      <c r="D819" s="108">
        <v>2025</v>
      </c>
      <c r="E819" s="105">
        <f t="shared" si="28"/>
        <v>58101.3</v>
      </c>
      <c r="F819" s="122">
        <v>0</v>
      </c>
      <c r="G819" s="105">
        <f>17824.9-286.9+353.4</f>
        <v>17891.400000000001</v>
      </c>
      <c r="H819" s="123">
        <v>40209.9</v>
      </c>
      <c r="I819" s="105">
        <v>0</v>
      </c>
      <c r="J819" s="105">
        <v>0</v>
      </c>
      <c r="K819" s="165"/>
      <c r="L819" s="166"/>
      <c r="M819" s="223">
        <f>SUM(H812:H828,H638:H681,H593:H636,H548:H591,H503:H546,H449:H501,H404:H447,H359:H402,H314:H357,H296:H312,H221:H228,H140:H147,H68:H75,H55:H62,H42:H49,H33:H40)</f>
        <v>4335183.6000000006</v>
      </c>
    </row>
    <row r="820" spans="1:13" ht="23.1" customHeight="1" x14ac:dyDescent="0.25">
      <c r="A820" s="17"/>
      <c r="B820" s="219"/>
      <c r="C820" s="360"/>
      <c r="D820" s="142">
        <v>2026</v>
      </c>
      <c r="E820" s="143">
        <f t="shared" si="28"/>
        <v>58598.8</v>
      </c>
      <c r="F820" s="144">
        <v>0</v>
      </c>
      <c r="G820" s="143">
        <f>17798.1+572.1-318.5+337.2</f>
        <v>18388.899999999998</v>
      </c>
      <c r="H820" s="145">
        <v>40209.9</v>
      </c>
      <c r="I820" s="143">
        <v>0</v>
      </c>
      <c r="J820" s="143">
        <v>0</v>
      </c>
      <c r="K820" s="165"/>
      <c r="L820" s="166"/>
      <c r="M820" s="223"/>
    </row>
    <row r="821" spans="1:13" ht="23.1" customHeight="1" x14ac:dyDescent="0.25">
      <c r="A821" s="361" t="s">
        <v>16</v>
      </c>
      <c r="B821" s="221" t="s">
        <v>17</v>
      </c>
      <c r="C821" s="362">
        <v>0</v>
      </c>
      <c r="D821" s="286">
        <v>2018</v>
      </c>
      <c r="E821" s="105">
        <f t="shared" si="28"/>
        <v>8798.2999999999993</v>
      </c>
      <c r="F821" s="105">
        <v>0</v>
      </c>
      <c r="G821" s="105">
        <v>0</v>
      </c>
      <c r="H821" s="105">
        <v>8798.2999999999993</v>
      </c>
      <c r="I821" s="105">
        <v>0</v>
      </c>
      <c r="J821" s="287">
        <v>0</v>
      </c>
      <c r="K821" s="363" t="s">
        <v>18</v>
      </c>
      <c r="L821" s="146" t="s">
        <v>19</v>
      </c>
    </row>
    <row r="822" spans="1:13" ht="23.1" customHeight="1" x14ac:dyDescent="0.25">
      <c r="A822" s="364"/>
      <c r="B822" s="219"/>
      <c r="C822" s="285">
        <v>0</v>
      </c>
      <c r="D822" s="286">
        <v>2019</v>
      </c>
      <c r="E822" s="105">
        <f t="shared" si="28"/>
        <v>8535.7000000000007</v>
      </c>
      <c r="F822" s="105">
        <v>0</v>
      </c>
      <c r="G822" s="105">
        <v>0</v>
      </c>
      <c r="H822" s="105">
        <v>8535.7000000000007</v>
      </c>
      <c r="I822" s="105">
        <v>0</v>
      </c>
      <c r="J822" s="287">
        <v>0</v>
      </c>
      <c r="K822" s="288"/>
      <c r="L822" s="165"/>
    </row>
    <row r="823" spans="1:13" ht="23.1" customHeight="1" x14ac:dyDescent="0.25">
      <c r="A823" s="364"/>
      <c r="B823" s="219"/>
      <c r="C823" s="285">
        <v>0</v>
      </c>
      <c r="D823" s="289">
        <v>2020</v>
      </c>
      <c r="E823" s="105">
        <f t="shared" si="28"/>
        <v>9713.2000000000007</v>
      </c>
      <c r="F823" s="122">
        <v>0</v>
      </c>
      <c r="G823" s="105">
        <v>1315.2</v>
      </c>
      <c r="H823" s="105">
        <v>8398</v>
      </c>
      <c r="I823" s="105">
        <v>0</v>
      </c>
      <c r="J823" s="287">
        <v>0</v>
      </c>
      <c r="K823" s="288"/>
      <c r="L823" s="165"/>
    </row>
    <row r="824" spans="1:13" ht="23.1" customHeight="1" x14ac:dyDescent="0.25">
      <c r="A824" s="364"/>
      <c r="B824" s="219"/>
      <c r="C824" s="290">
        <v>0</v>
      </c>
      <c r="D824" s="289">
        <v>2021</v>
      </c>
      <c r="E824" s="105">
        <f t="shared" si="28"/>
        <v>9083.2000000000007</v>
      </c>
      <c r="F824" s="122">
        <v>0</v>
      </c>
      <c r="G824" s="105">
        <v>500</v>
      </c>
      <c r="H824" s="105">
        <v>8583.2000000000007</v>
      </c>
      <c r="I824" s="105">
        <v>0</v>
      </c>
      <c r="J824" s="287">
        <v>0</v>
      </c>
      <c r="K824" s="288"/>
      <c r="L824" s="165"/>
    </row>
    <row r="825" spans="1:13" ht="23.1" customHeight="1" x14ac:dyDescent="0.25">
      <c r="A825" s="364"/>
      <c r="B825" s="219"/>
      <c r="C825" s="290">
        <v>0</v>
      </c>
      <c r="D825" s="289">
        <v>2022</v>
      </c>
      <c r="E825" s="105">
        <f t="shared" si="28"/>
        <v>11250.300000000001</v>
      </c>
      <c r="F825" s="122">
        <v>0</v>
      </c>
      <c r="G825" s="105">
        <f>1000-134.9</f>
        <v>865.1</v>
      </c>
      <c r="H825" s="105">
        <f>10395.2-3.7-6.3</f>
        <v>10385.200000000001</v>
      </c>
      <c r="I825" s="105">
        <v>0</v>
      </c>
      <c r="J825" s="287">
        <v>0</v>
      </c>
      <c r="K825" s="288"/>
      <c r="L825" s="165"/>
    </row>
    <row r="826" spans="1:13" ht="23.1" customHeight="1" x14ac:dyDescent="0.25">
      <c r="A826" s="364"/>
      <c r="B826" s="219"/>
      <c r="C826" s="290">
        <v>0</v>
      </c>
      <c r="D826" s="289">
        <v>2023</v>
      </c>
      <c r="E826" s="105">
        <f t="shared" si="28"/>
        <v>12075.599999999999</v>
      </c>
      <c r="F826" s="122">
        <v>0</v>
      </c>
      <c r="G826" s="105">
        <f>1314.2+3.7-24.5</f>
        <v>1293.4000000000001</v>
      </c>
      <c r="H826" s="105">
        <f>10681.8+100.4</f>
        <v>10782.199999999999</v>
      </c>
      <c r="I826" s="105">
        <v>0</v>
      </c>
      <c r="J826" s="287">
        <v>0</v>
      </c>
      <c r="K826" s="288"/>
      <c r="L826" s="165"/>
    </row>
    <row r="827" spans="1:13" ht="23.1" customHeight="1" x14ac:dyDescent="0.25">
      <c r="A827" s="364"/>
      <c r="B827" s="219"/>
      <c r="C827" s="290">
        <v>0</v>
      </c>
      <c r="D827" s="289">
        <v>2024</v>
      </c>
      <c r="E827" s="105">
        <f t="shared" si="28"/>
        <v>16620.400000000001</v>
      </c>
      <c r="F827" s="122">
        <v>0</v>
      </c>
      <c r="G827" s="105">
        <f>1527.5+200-307.2+211.6</f>
        <v>1631.8999999999999</v>
      </c>
      <c r="H827" s="123">
        <f>13790.9+1197.6</f>
        <v>14988.5</v>
      </c>
      <c r="I827" s="105">
        <v>0</v>
      </c>
      <c r="J827" s="287">
        <v>0</v>
      </c>
      <c r="K827" s="288"/>
      <c r="L827" s="165"/>
    </row>
    <row r="828" spans="1:13" ht="23.1" customHeight="1" thickBot="1" x14ac:dyDescent="0.3">
      <c r="A828" s="364"/>
      <c r="B828" s="219"/>
      <c r="C828" s="291">
        <v>0</v>
      </c>
      <c r="D828" s="289">
        <v>2025</v>
      </c>
      <c r="E828" s="105">
        <f t="shared" si="28"/>
        <v>13324.300000000001</v>
      </c>
      <c r="F828" s="292">
        <v>0</v>
      </c>
      <c r="G828" s="105">
        <f>1828.5-102.8</f>
        <v>1725.7</v>
      </c>
      <c r="H828" s="123">
        <f>11598.6</f>
        <v>11598.6</v>
      </c>
      <c r="I828" s="105">
        <v>0</v>
      </c>
      <c r="J828" s="287">
        <v>0</v>
      </c>
      <c r="K828" s="288"/>
      <c r="L828" s="165"/>
    </row>
    <row r="829" spans="1:13" ht="23.1" customHeight="1" thickBot="1" x14ac:dyDescent="0.3">
      <c r="A829" s="364"/>
      <c r="B829" s="219"/>
      <c r="C829" s="293"/>
      <c r="D829" s="294">
        <v>2026</v>
      </c>
      <c r="E829" s="143">
        <f>F829+G829+H829+J829</f>
        <v>13911.7</v>
      </c>
      <c r="F829" s="295">
        <v>0</v>
      </c>
      <c r="G829" s="143">
        <f>1921.9+500-108.8</f>
        <v>2313.1</v>
      </c>
      <c r="H829" s="145">
        <f>11598.6</f>
        <v>11598.6</v>
      </c>
      <c r="I829" s="143">
        <v>0</v>
      </c>
      <c r="J829" s="296">
        <v>0</v>
      </c>
      <c r="K829" s="288"/>
      <c r="L829" s="165"/>
    </row>
    <row r="830" spans="1:13" s="178" customFormat="1" ht="23.1" customHeight="1" thickBot="1" x14ac:dyDescent="0.3">
      <c r="A830" s="365"/>
      <c r="B830" s="345"/>
      <c r="C830" s="346"/>
      <c r="D830" s="335" t="s">
        <v>8</v>
      </c>
      <c r="E830" s="347">
        <f>F830+G830+H830+J830</f>
        <v>553451.70000000007</v>
      </c>
      <c r="F830" s="347">
        <f>SUM(F812:F829)</f>
        <v>0</v>
      </c>
      <c r="G830" s="347">
        <f>SUM(G812:G829)</f>
        <v>136461.6</v>
      </c>
      <c r="H830" s="347">
        <f>SUM(H812:H829)</f>
        <v>416990.10000000003</v>
      </c>
      <c r="I830" s="347">
        <f>SUM(I812:I829)</f>
        <v>0</v>
      </c>
      <c r="J830" s="348">
        <f>SUM(J812:J829)</f>
        <v>0</v>
      </c>
      <c r="K830" s="349"/>
      <c r="L830" s="334"/>
    </row>
    <row r="831" spans="1:13" ht="27" customHeight="1" x14ac:dyDescent="0.25">
      <c r="A831" s="357"/>
      <c r="B831" s="355" t="s">
        <v>8</v>
      </c>
      <c r="C831" s="299">
        <v>0</v>
      </c>
      <c r="D831" s="350">
        <v>2018</v>
      </c>
      <c r="E831" s="301">
        <f>F831+G831+H831+J831</f>
        <v>1360508.6999999997</v>
      </c>
      <c r="F831" s="301">
        <f>F11+F20+F33+F42+F55+F68+F77+F95+F104+F113+F131+F140+F149+F167+F176+F185+F194+F203+F212+F221+F230+F239+F260+F269+F278+F287+F296+F305+F314+F323+F332+F341+F350+F359+F368+F377+F386+F395+F404+F413+F422+F431+F440+F449+F458+F467+F476+F485+F494+F503+F512+F521+F530+F539+F548+F557+F566+F575+F584+F593+F602+F611+F620+F629+F638+F647+F656+F665+F674+F812+F821</f>
        <v>0</v>
      </c>
      <c r="G831" s="301">
        <f>G11+G20+G33+G42+G55+G68+G95+G104+G113+G131+G140+G167+G176+G185+G194+G203+G212+G221+G230+G239+G260+G269+G278+G287+G296+G305+G314+G323+G332+G341+G350+G359+G368+G377+G386+G395+G404+G413+G422+G431+G440+G449+G458+G467+G476+G485+G494+G503+G512+G521+G530+G539+G548+G557+G566+G575+G584+G593+G602+G611+G620+G629+G638+G647+G656+G665+G674+G812+G821</f>
        <v>925161.59999999986</v>
      </c>
      <c r="H831" s="301">
        <f>H11+H20+H33+H42+H55+H77+H95+H104+H113+H131+H149+H167+H176+H185+H194+H203+H212+H230+H239+H260+H269+H278+H287+H296+H305+H314+H323+H332+H341+H350+H359+H368+H377+H386+H395+H404+H413+H422+H431+H440+H449+H458+H467+H476+H485+H494+H503+H512+H521+H530+H539+H548+H557+H566+H575+H584+H593+H602+H611+H620+H629+H638+H647+H656+H665+H674+H812+H821+H122</f>
        <v>337545.1</v>
      </c>
      <c r="I831" s="301">
        <f t="shared" ref="I831:J834" si="29">I11+I20+I33+I42+I55+I68+I77+I95+I104+I113+I131+I140+I149+I167+I176+I185+I194+I203+I212+I221+I230+I239+I260+I269+I278+I287+I296+I305+I314+I323+I332+I341+I350+I359+I368+I377+I386+I395+I404+I413+I422+I431+I440+I449+I458+I467+I476+I485+I494+I503+I512+I521+I530+I539+I548+I557+I566+I575+I584+I593+I602+I611+I620+I629+I638+I647+I656+I665+I674+I812+I821</f>
        <v>7682.5</v>
      </c>
      <c r="J831" s="302">
        <f t="shared" si="29"/>
        <v>97802</v>
      </c>
      <c r="K831" s="303"/>
      <c r="L831" s="303"/>
    </row>
    <row r="832" spans="1:13" ht="27" customHeight="1" x14ac:dyDescent="0.25">
      <c r="A832" s="358"/>
      <c r="B832" s="355"/>
      <c r="C832" s="299">
        <v>0</v>
      </c>
      <c r="D832" s="300">
        <v>2019</v>
      </c>
      <c r="E832" s="301">
        <f t="shared" ref="E832:E840" si="30">F832+G832+H832+J832</f>
        <v>1445064.3</v>
      </c>
      <c r="F832" s="301">
        <f>F12+F21+F34+F43+F56+F69+F78+F96+F105+F114+F132+F141+F150+F168+F177+F186+F195+F204+F213+F222+F231+F240+F261+F270+F279+F288+F297+F306+F315+F324+F333+F342+F351+F360+F369+F378+F387+F396+F405+F414+F423+F432+F441+F450+F459+F468+F477+F486+F495+F504+F513+F522+F531+F540+F549+F558+F567+F576+F585+F594+F603+F612+F621+F630+F639+F648+F657+F666+F675+F813+F822</f>
        <v>0</v>
      </c>
      <c r="G832" s="297">
        <f>G12+G21+G34+G43+G56+G69+G96+G105+G114+G132+G141+G168+G177+G186+G195+G204+G213+G222+G231+G240+G261+G270+G279+G288+G297+G306+G315+G324+G333+G342+G351+G360+G369+G378+G387+G396+G405+G414+G423+G432+G441+G450+G459+G468+G477+G486+G495+G504+G513+G522+G531+G540+G549+G558+G567+G576+G585+G594+G603+G612+G621+G630+G639+G648+G657+G666+G675+G813+G822</f>
        <v>980217.20000000007</v>
      </c>
      <c r="H832" s="297">
        <f>H12+H21+H34+H43+H56+H78+H96+H105+H114+H132+H150+H168+H177+H186+H195+H204+H213+H231+H240+H261+H270+H279+H288+H297+H306+H315+H324+H333+H342+H351+H360+H369+H378+H387+H396+H405+H414+H423+H432+H441+H450+H459+H468+H477+H486+H495+H504+H513+H522+H531+H540+H549+H558+H567+H576+H585+H594+H603+H612+H621+H630+H639+H648+H657+H666+H675+H813+H822+H123</f>
        <v>366465.8</v>
      </c>
      <c r="I832" s="301">
        <f t="shared" si="29"/>
        <v>7418.3000000000011</v>
      </c>
      <c r="J832" s="302">
        <f t="shared" si="29"/>
        <v>98381.3</v>
      </c>
      <c r="K832" s="303"/>
      <c r="L832" s="303"/>
    </row>
    <row r="833" spans="1:14" ht="27" customHeight="1" x14ac:dyDescent="0.25">
      <c r="A833" s="358"/>
      <c r="B833" s="355"/>
      <c r="C833" s="299">
        <v>0</v>
      </c>
      <c r="D833" s="300">
        <v>2020</v>
      </c>
      <c r="E833" s="301">
        <f t="shared" si="30"/>
        <v>1553533.6999999997</v>
      </c>
      <c r="F833" s="301">
        <f>F13+F22+F35+F44+F57+F70+F79+F97+F106+F115+F133+F142+F151+F169+F178+F187+F196+F205+F214+F223+F232+F241+F262+F271+F280+F289+F298+F307+F316+F325+F334+F343+F352+F361+F370+F379+F388+F397+F406+F415+F424+F433+F442+F451+F460+F469+F478+F487+F496+F505+F514+F523+F532+F541+F550+F559+F568+F577+F586+F595+F604+F613+F622+F631+F640+F649+F658+F667+F676+F814+F823</f>
        <v>15103.2</v>
      </c>
      <c r="G833" s="297">
        <f>G13+G22+G35+G44+G57+G70+G97+G106+G115+G133+G142+G169+G178+G187+G196+G205+G214+G223+G232+G241+G262+G271+G280+G289+G298+G307+G316+G325+G334+G343+G352+G361+G370+G379+G388+G397+G406+G415+G424+G433+G442+G451+G460+G469+G478+G487+G496+G505+G514+G523+G532+G541+G550+G559+G568+G577+G586+G595+G604+G613+G622+G631+G640+G649+G658+G667+G676+G814+G823</f>
        <v>1048260.6999999998</v>
      </c>
      <c r="H833" s="297">
        <f>H13+H22+H35+H44+H57+H79+H97+H106+H115+H133+H151+H169+H178+H187+H196+H205+H214+H232+H241+H262+H271+H280+H289+H298+H307+H316+H325+H334+H343+H352+H361+H370+H379+H388+H397+H406+H415+H424+H433+H442+H451+H460+H469+H478+H487+H496+H505+H514+H523+H532+H541+H550+H559+H568+H577+H586+H595+H604+H613+H622+H631+H640+H649+H658+H667+H676+H814+H823+H124</f>
        <v>378600.89999999991</v>
      </c>
      <c r="I833" s="301">
        <f t="shared" si="29"/>
        <v>4346.3</v>
      </c>
      <c r="J833" s="302">
        <f t="shared" si="29"/>
        <v>111568.9</v>
      </c>
      <c r="K833" s="303"/>
      <c r="L833" s="303"/>
    </row>
    <row r="834" spans="1:14" ht="27" customHeight="1" x14ac:dyDescent="0.25">
      <c r="A834" s="358"/>
      <c r="B834" s="355"/>
      <c r="C834" s="299">
        <v>0</v>
      </c>
      <c r="D834" s="300">
        <v>2021</v>
      </c>
      <c r="E834" s="301">
        <f t="shared" si="30"/>
        <v>1756160.3</v>
      </c>
      <c r="F834" s="301">
        <f>F14+F23+F36+F45+F58+F71+F80+F98+F107+F116+F134+F143+F152+F170+F179+F188+F197+F206+F215+F224+F233+F242+F263+F272+F281+F290+F299+F308+F317+F326+F335+F344+F353+F362+F371+F380+F389+F398+F407+F416+F425+F434+F443+F452+F461+F470+F479+F488+F497+F506+F515+F524+F533+F542+F551+F560+F569+F578+F587+F596+F605+F614+F623+F632+F641+F650+F659+F668+F677+F815+F824</f>
        <v>45309.599999999999</v>
      </c>
      <c r="G834" s="297">
        <f>G14+G23+G36+G45+G58+G71+G98+G107+G116+G134+G143+G170+G179+G188+G197+G206+G215+G224+G233+G242+G263+G272+G281+G290+G299+G308+G317+G326+G335+G344+G353+G362+G371+G380+G389+G398+G407+G416+G425+G434+G443+G452+G461+G470+G479+G488+G497+G506+G515+G524+G533+G542+G551+G560+G569+G578+G587+G596+G605+G614+G623+G632+G641+G650+G659+G668+G677+G815+G824</f>
        <v>1116904.6000000001</v>
      </c>
      <c r="H834" s="297">
        <f>H14+H23+H36+H45+H58+H80+H98+H107+H116+H134+H152+H170+H179+H188+H197+H206+H215+H233+H242+H263+H272+H281+H290+H299+H308+H317+H326+H335+H344+H353+H362+H371+H380+H389+H398+H407+H416+H425+H434+H443+H452+H461+H470+H479+H488+H497+H506+H515+H524+H533+H542+H551+H560+H569+H578+H587+H596+H605+H614+H623+H632+H641+H650+H659+H668+H677+H815+H824+H125</f>
        <v>501978.6999999999</v>
      </c>
      <c r="I834" s="301">
        <f t="shared" si="29"/>
        <v>7095.5</v>
      </c>
      <c r="J834" s="302">
        <f t="shared" si="29"/>
        <v>91967.4</v>
      </c>
      <c r="K834" s="303"/>
      <c r="L834" s="303"/>
    </row>
    <row r="835" spans="1:14" ht="27" customHeight="1" x14ac:dyDescent="0.3">
      <c r="A835" s="358"/>
      <c r="B835" s="355"/>
      <c r="C835" s="304">
        <v>0</v>
      </c>
      <c r="D835" s="305">
        <v>2022</v>
      </c>
      <c r="E835" s="301">
        <f t="shared" si="30"/>
        <v>1942154.1</v>
      </c>
      <c r="F835" s="301">
        <f>F15+F24+F37+F46+F59+F72+F81+F99+F108+F117+F135+F144+F153+F171+F180+F189+F198+F207+F216+F225+F234+F243+F264+F273+F282+F291+F300+F309+F318+F327+F336+F345+F354+F363+F372+F381+F390+F399+F408+F417+F426+F435+F444+F453+F462+F471+F480+F489+F498+F507+F516+F525+F534+F543+F552+F561+F570+F579+F588+F597+F606+F615+F624+F633+F642+F651+F660+F669+F678+F816+F825</f>
        <v>45544</v>
      </c>
      <c r="G835" s="297">
        <f>G15+G24+G37+G46+G59+G72+G99+G108+G117+G135+G144+G171+G180+G189+G198+G207+G216+G225+G234+G243+G264+G273+G282+G291+G300+G309+G318+G327+G336+G345+G354+G363+G372+G381+G390+G399+G408+G417+G426+G435+G444+G453+G462+G471+G480+G489+G498+G507+G516+G525+G534+G543+G552+G561+G570+G579+G588+G597+G606+G615+G624+G633+G642+G651+G660+G669+G678+G816+G825+G687</f>
        <v>1208536.0000000002</v>
      </c>
      <c r="H835" s="297">
        <f>H15+H24+H37+H46+H59+H81+H99+H108+H117+H135+H153+H171+H180+H189+H198+H207+H216+H234+H264+H273+H282+H291+H300+H309+H318+H327+H336+H345+H354+H363+H372+H381+H390+H399+H408+H417+H426+H435+H444+H453+H462+H471+H480+H489+H498+H507+H516+H525+H534+H543+H552+H561+H570+H579+H588+H597+H606+H615+H624+H633+H642+H651+H660+H669+H678+H816+H825+H126+H687+H696</f>
        <v>579043.89999999991</v>
      </c>
      <c r="I835" s="297">
        <f>I15+I24+I37+I46+I59+I72+I99+I108+I117+I135+I144+I171+I180+I189+I198+I207+I216+I225+I234+I243+I264+I273+I282+I291+I300+I309+I318+I327+I336+I345+I354+I363+I372+I381+I390+I399+I408+I417+I426+I435+I444+I453+I462+I471+I480+I489+I498+I507+I516+I525+I534+I543+I552+I561+I570+I579+I588+I597+I606+I615+I624+I633+I642+I651+I660+I669+I678+I816+I825+I687+I724</f>
        <v>20762.5</v>
      </c>
      <c r="J835" s="298">
        <f>J15+J24+J37+J46+J59+J81+J99+J108+J117+J135+J153+J171+J180+J189+J198+J207+J216+J234+J264+J273+J282+J291+J300+J309+J318+J327+J336+J345+J354+J363+J372+J381+J390+J399+J408+J417+J426+J435+J444+J453+J462+J471+J480+J489+J498+J507+J516+J525+J534+J543+J552+J561+J570+J579+J588+J597+J606+J615+J624+J633+J642+J651+J660+J669+J678+J816+J825+J126+J687</f>
        <v>109030.2</v>
      </c>
      <c r="K835" s="303"/>
      <c r="L835" s="303"/>
    </row>
    <row r="836" spans="1:14" ht="27" customHeight="1" x14ac:dyDescent="0.3">
      <c r="A836" s="358"/>
      <c r="B836" s="355"/>
      <c r="C836" s="304"/>
      <c r="D836" s="305">
        <v>2023</v>
      </c>
      <c r="E836" s="301">
        <f t="shared" si="30"/>
        <v>2159738.3999999994</v>
      </c>
      <c r="F836" s="301">
        <f>F16+F25+F38+F47+F60+F73+F82+F100+F109+F118+F136+F145+F154+F172+F181+F190+F199+F208+F217+F226+F235+F244+F265+F274+F283+F292+F301+F310+F319+F328+F337+F346+F355+F364+F373+F382+F391+F400+F409+F418+F427+F436+F445+F454+F463+F472+F481+F490+F499+F508+F517+F526+F535+F544+F553+F562+F571+F580+F589+F598+F607+F616+F625+F634+F643+F652+F661+F670+F679+F817+F826+F724</f>
        <v>45856.4</v>
      </c>
      <c r="G836" s="297">
        <f>G16+G25+G38+G47+G60+G73+G100+G109+G118+G136+G145+G172+G181+G190+G199+G208+G217+G226+G235+G244+G265+G274+G283+G292+G301+G310+G319+G328+G337+G346+G355+G364+G373+G382+G391+G400+G409+G418+G427+G436+G445+G454+G463+G472+G481+G490+G499+G508+G517+G526+G535+G544+G553+G562+G571+G580+G589+G598+G607+G616+G625+G634+G643+G652+G661+G670+G679+G817+G826+G688+G697+G706+G715+G724</f>
        <v>1340019.0999999996</v>
      </c>
      <c r="H836" s="297">
        <f>H16+H25+H38+H47+H60+H82+H91+H100+H109+H118+H136+H154+H163+H172+H181+H190+H199+H208+H217+H235+H265+H274+H283+H292+H301+H310+H319+H328+H337+H346+H355+H364+H373+H382+H391+H400+H409+H418+H427+H436+H445+H454+H463+H472+H481+H490+H499+H508+H517+H526+H535+H544+H553+H562+H571+H580+H589+H598+H607+H616+H625+H634+H643+H652+H661+H670+H679+H817+H826+H127+H688+H697+H706+H715+H724+H742+H751+H760+H769</f>
        <v>663301.29999999981</v>
      </c>
      <c r="I836" s="301">
        <f>I16+I25+I38+I47+I60+I73+I82+I100+I109+I118+I136+I145+I154+I172+I181+I190+I199+I208+I217+I226+I235+I244+I265+I274+I283+I292+I301+I310+I319+I328+I337+I346+I355+I364+I373+I382+I391+I400+I409+I418+I427+I436+I445+I454+I463+I472+I481+I490+I499+I508+I517+I526+I535+I544+I553+I562+I571+I580+I589+I598+I607+I616+I625+I634+I643+I652+I661+I670+I679+I817+I826+I688+I697+I706+I805+I796+I787+I778+I769+I760+I751+I742+I733+I724+I715</f>
        <v>12037.800000000001</v>
      </c>
      <c r="J836" s="302">
        <f>J16+J25+J38+J47+J60+J73+J82+J100+J109+J118+J136+J145+J154+J172+J181+J190+J199+J208+J217+J226+J235+J244+J265+J274+J283+J292+J301+J310+J319+J328+J337+J346+J355+J364+J373+J382+J391+J400+J409+J418+J427+J436+J445+J454+J463+J472+J481+J490+J499+J508+J517+J526+J535+J544+J553+J562+J571+J580+J589+J598+J607+J616+J625+J634+J643+J652+J661+J670+J679+J817+J826</f>
        <v>110561.60000000001</v>
      </c>
      <c r="K836" s="303"/>
      <c r="L836" s="303"/>
    </row>
    <row r="837" spans="1:14" ht="27" customHeight="1" x14ac:dyDescent="0.3">
      <c r="A837" s="358"/>
      <c r="B837" s="355"/>
      <c r="C837" s="304"/>
      <c r="D837" s="305">
        <v>2024</v>
      </c>
      <c r="E837" s="301">
        <f>F837+G837+H837+J837</f>
        <v>2568294.7000000002</v>
      </c>
      <c r="F837" s="301">
        <f>F17+F26+F39+F48+F61+F74+F83+F101+F110+F119+F137+F146+F155+F173+F182+F191+F200+F209+F218+F227+F236+F245+F266+F275+F284+F293+F302+F311+F320+F329+F338+F347+F356+F365+F374+F383+F392+F401+F410+F419+F428+F437+F446+F455+F464+F473+F482+F491+F500+F509+F518+F527+F536+F545+F554+F563+F572+F581+F590+F599+F608+F617+F626+F635+F644+F653+F662+F671+F680+F818+F827+F725</f>
        <v>52705</v>
      </c>
      <c r="G837" s="297">
        <f>G17+G26+G39+G48+G61+G74+G101+G110+G119+G137+G146+G173+G182+G191+G200+G209+G218+G227+G236+G245+G266+G275+G284+G293+G302+G311+G320+G329+G338+G347+G356+G365+G374+G383+G392+G401+G410+G419+G428+G437+G446+G455+G464+G473+G482+G491+G500+G509+G518+G527+G536+G545+G554+G563+G572+G581+G590+G599+G608+G617+G626+G635+G644+G653+G662+G671+G680+G818+G827+G689+G698+G707+G716+G725</f>
        <v>1581426.5</v>
      </c>
      <c r="H837" s="297">
        <f>H17+H26+H39+H48+H61+H83+H92+H101+H110+H119+H137+H155+H164+H173+H182+H191+H200+H209+H218+H236+H266+H275+H284+H293+H302+H311+H320+H329+H338+H347+H356+H365+H374+H383+H392+H401+H410+H419+H428+H437+H446+H455+H464+H473+H482+H491+H500+H509+H518+H527+H536+H545+H554+H563+H572+H581+H590+H599+H608+H617+H626+H635+H644+H653+H662+H671+H680+H818+H827+H128+H689+H698+H707+H716+H725+H752+H734+H806+H797+H788+H779+H770+H761</f>
        <v>783078.49999999988</v>
      </c>
      <c r="I837" s="301">
        <f>I17+I26+I39+I48+I61+I74+I83+I101+I110+I119+I137+I146+I155+I173+I182+I191+I200+I209+I218+I227+I236+I245+I266+I275+I284+I293+I302+I311+I320+I329+I338+I347+I356+I365+I374+I383+I392+I401+I410+I419+I428+I437+I446+I455+I464+I473+I482+I491+I500+I509+I518+I527+I536+I545+I554+I563+I572+I581+I590+I599+I608+I617+I626+I635+I644+I653+I662+I671+I680+I818+I827+I689+I698+I707+I725+I734+I806+I797+I788+I779+I770+I761+I752+I743</f>
        <v>16112.800000000001</v>
      </c>
      <c r="J837" s="302">
        <f>J17+J26+J39+J48+J61+J74+J83+J101+J110+J119+J137+J146+J155+J173+J182+J191+J200+J209+J218+J227+J236+J245+J266+J275+J284+J293+J302+J311+J320+J329+J338+J347+J356+J365+J374+J383+J392+J401+J410+J419+J428+J437+J446+J455+J464+J473+J482+J491+J500+J509+J518+J527+J536+J545+J554+J563+J572+J581+J590+J599+J608+J617+J626+J635+J644+J653+J662+J671+J680+J818+J827</f>
        <v>151084.70000000001</v>
      </c>
      <c r="K837" s="303"/>
      <c r="L837" s="303"/>
      <c r="M837" s="223">
        <f>837241.6-H837</f>
        <v>54163.100000000093</v>
      </c>
    </row>
    <row r="838" spans="1:14" ht="27" customHeight="1" x14ac:dyDescent="0.3">
      <c r="A838" s="358"/>
      <c r="B838" s="355"/>
      <c r="C838" s="304"/>
      <c r="D838" s="306">
        <v>2025</v>
      </c>
      <c r="E838" s="307">
        <f t="shared" si="30"/>
        <v>2253475.4</v>
      </c>
      <c r="F838" s="301">
        <f>F18+F27+F40+F49+F62+F75+F84+F102+F111+F120+F138+F147+F156+F174+F183+F192+F201+F210+F219+F228+F237+F246+F267+F276+F285+F294+F303+F312+F321+F330+F339+F348+F357+F366+F375+F384+F393+F402+F411+F420+F429+F438+F447+F456+F465+F474+F483+F492+F501+F510+F519+F528+F537+F546+F555+F564+F573+F582+F591+F600+F609+F618+F627+F636+F645+F654+F663+F672+F681+F819+F828+F726</f>
        <v>44919</v>
      </c>
      <c r="G838" s="297">
        <f>G18+G27+G40+G49+G62+G75+G102+G111+G120+G138+G147+G174+G183+G192+G201+G210+G219+G228+G237+G246+G267+G276+G285+G294+G303+G312+G321+G330+G339+G348+G357+G366+G375+G384+G393+G402+G411+G420+G429+G438+G447+G456+G465+G474+G483+G492+G501+G510+G519+G528+G537+G546+G555+G564+G573+G582+G591+G600+G609+G618+G627+G636+G645+G654+G663+G672+G681+G819+G828+G690+G699+G708+G717+G726</f>
        <v>1475860.4000000001</v>
      </c>
      <c r="H838" s="297">
        <f>H18+H27+H40+H49+H62+H84+H93+H102+H111+H120+H138+H156+H165+H174+H183+H192+H201+H210+H219+H237+H267+H276+H285+H294+H303+H312+H321+H330+H339+H348+H357+H366+H375+H384+H393+H402+H411+H420+H429+H438+H447+H456+H465+H474+H483+H492+H501+H510+H519+H528+H537+H546+H555+H564+H573+H582+H591+H600+H609+H618+H627+H636+H645+H654+H663+H672+H681+H819+H828+H129+H690+H699+H708+H717+H726+H807+H798+H789+H780+H771+H762+H753+H744+H735</f>
        <v>622134.39999999991</v>
      </c>
      <c r="I838" s="307">
        <f>I18+I27+I40+I49+I62+I75+I84+I102+I111+I120+I138+I147+I156+I174+I183+I192+I201+I210+I219+I228+I237+I246+I267+I276+I285+I294+I303+I312+I321+I330+I339+I348+I357+I366+I375+I384+I393+I402+I411+I420+I429+I438+I447+I456+I465+I474+I483+I492+I501+I510+I519+I528+I537+I546+I555+I564+I573+I582+I591+I600+I609+I618+I627+I636+I645+I654+I663+I672+I681+I819+I828+I699+I690+I726+I807+I798+I789+I780+I771+I762+I753+I744+I735</f>
        <v>10160.299999999999</v>
      </c>
      <c r="J838" s="308">
        <f>J18+J27+J40+J49+J62+J75+J84+J102+J111+J120+J138+J147+J156+J174+J183+J192+J201+J210+J219+J228+J237+J246+J267+J276+J285+J294+J303+J312+J321+J330+J339+J348+J357+J366+J375+J384+J393+J402+J411+J420+J429+J438+J447+J456+J465+J474+J483+J492+J501+J510+J519+J528+J537+J546+J555+J564+J573+J582+J591+J600+J609+J618+J627+J636+J645+J654+J663+J672+J681+J819+J828</f>
        <v>110561.60000000001</v>
      </c>
      <c r="K838" s="303"/>
      <c r="L838" s="303"/>
      <c r="M838" s="223">
        <f>825527.8-H838</f>
        <v>203393.40000000014</v>
      </c>
    </row>
    <row r="839" spans="1:14" ht="27" customHeight="1" thickBot="1" x14ac:dyDescent="0.35">
      <c r="A839" s="358"/>
      <c r="B839" s="356"/>
      <c r="C839" s="309"/>
      <c r="D839" s="310">
        <v>2026</v>
      </c>
      <c r="E839" s="307">
        <f>F839+G839+H839+J839</f>
        <v>2344267.7000000007</v>
      </c>
      <c r="F839" s="301">
        <f>F19+F28+F41+F50+F63+F76+F85+F103+F112+F121+F139+F148+F157+F175+F184+F193+F202+F211+F220+F229+F238+F247+F268+F277+F286+F295+F304+F313+F322+F331+F340+F349+F358+F367+F376+F385+F394+F403+F412+F421+F430+F439+F448+F457+F466+F475+F484+F493+F502+F511+F520+F529+F538+F547+F556+F565+F574+F583+F592+F601+F610+F619+F628+F637+F646+F655+F664+F673+F682+F820+F829+F727</f>
        <v>44997.1</v>
      </c>
      <c r="G839" s="297">
        <f>G19+G28+G41+G50+G63+G76+G103+G112+G121+G139+G148+G175+G184+G193+G202+G211+G220+G229+G238+G247+G268+G277+G286+G295+G304+G313+G322+G331+G340+G349+G358+G367+G376+G385+G394+G403+G412+G421+G430+G439+G448+G457+G466+G475+G484+G493+G502+G511+G520+G529+G538+G547+G556+G565+G574+G583+G592+G601+G610+G619+G628+G637+G646+G655+G664+G673+G682+G820+G829+G691+G700+G709+G718+G727</f>
        <v>1555852.3000000005</v>
      </c>
      <c r="H839" s="297">
        <f>H19+H28+H41+H50+H63+H85+H94+H103+H112+H121+H139+H157+H166+H175+H184+H193+H202+H211+H220+H238+H268+H277+H286+H295+H304+H313+H322+H331+H340+H349+H358+H367+H376+H385+H394+H403+H412+H421+H430+H439+H448+H457+H466+H475+H484+H493+H502+H511+H520+H529+H538+H547+H556+H565+H574+H583+H592+H601+H610+H619+H628+H637+H646+H655+H664+H673+H682+H820+H829+H130+H691+H700+H709+H718+H727+H808+H799+H790+H781+H772+H763+H754+H745+H736</f>
        <v>632856.70000000007</v>
      </c>
      <c r="I839" s="307">
        <f>I19+I28+I41+I50+I63+I76+I85+I103+I112+I121+I139+I148+I157+I175+I184+I193+I202+I211+I220+I229+I238+I247+I268+I277+I286+I295+I304+I313+I322+I331+I340+I349+I358+I367+I376+I385+I394+I403+I412+I421+I430+I439+I448+I457+I466+I475+I484+I493+I502+I511+I520+I529+I538+I547+I556+I565+I574+I583+I592+I601+I610+I619+I628+I637+I646+I655+I664+I673+I682+I820+I829+I700+I691+I727+I808+I799+I790+I781+I772+I763+I754+I745+I736</f>
        <v>10668</v>
      </c>
      <c r="J839" s="308">
        <f>J19+J28+J41+J50+J63+J76+J85+J103+J112+J121+J139+J148+J157+J175+J184+J193+J202+J211+J220+J229+J238+J247+J268+J277+J286+J295+J304+J313+J322+J331+J340+J349+J358+J367+J376+J385+J394+J403+J412+J421+J430+J439+J448+J457+J466+J475+J484+J493+J502+J511+J520+J529+J538+J547+J556+J565+J574+J583+J592+J601+J610+J619+J628+J637+J646+J655+J664+J673+J682+J820+J829</f>
        <v>110561.60000000001</v>
      </c>
      <c r="K839" s="311"/>
      <c r="L839" s="311"/>
      <c r="M839" s="223">
        <f>827294.7-H839</f>
        <v>194437.99999999988</v>
      </c>
    </row>
    <row r="840" spans="1:14" ht="27" customHeight="1" x14ac:dyDescent="0.3">
      <c r="A840" s="359"/>
      <c r="B840" s="355"/>
      <c r="C840" s="351">
        <v>0</v>
      </c>
      <c r="D840" s="352"/>
      <c r="E840" s="353">
        <f t="shared" si="30"/>
        <v>17383197.300000001</v>
      </c>
      <c r="F840" s="353">
        <f>F831+F832+F833+F834+F835+F836+F837+F838+F839</f>
        <v>294434.3</v>
      </c>
      <c r="G840" s="353">
        <f>G831+G832+G833+G834+G835+G836+G837+G838+G839</f>
        <v>11232238.4</v>
      </c>
      <c r="H840" s="353">
        <f>H831+H832+H833+H834+H835+H836+H837+H838+H839</f>
        <v>4865005.3</v>
      </c>
      <c r="I840" s="353">
        <f>I831+I832+I833+I834+I835+I836+I837+I838+I839</f>
        <v>96284.000000000015</v>
      </c>
      <c r="J840" s="354">
        <f>J831+J832+J833+J834+J835+J836+J837+J838+J839</f>
        <v>991519.3</v>
      </c>
      <c r="K840" s="303"/>
      <c r="L840" s="303"/>
    </row>
    <row r="841" spans="1:14" s="312" customFormat="1" x14ac:dyDescent="0.3">
      <c r="A841" s="336"/>
      <c r="B841" s="337"/>
      <c r="C841" s="338"/>
      <c r="E841" s="339"/>
      <c r="F841" s="340"/>
      <c r="G841" s="340"/>
      <c r="H841" s="340"/>
      <c r="I841" s="340"/>
      <c r="J841" s="340"/>
      <c r="K841" s="341"/>
      <c r="L841" s="341"/>
    </row>
    <row r="842" spans="1:14" s="312" customFormat="1" ht="20.100000000000001" customHeight="1" x14ac:dyDescent="0.25">
      <c r="B842" s="342" t="s">
        <v>21</v>
      </c>
      <c r="C842" s="342"/>
      <c r="D842" s="342"/>
      <c r="E842" s="342"/>
      <c r="F842" s="342"/>
      <c r="G842" s="342"/>
      <c r="H842" s="342"/>
      <c r="I842" s="342"/>
      <c r="J842" s="342"/>
      <c r="K842" s="342"/>
      <c r="L842" s="342"/>
    </row>
    <row r="843" spans="1:14" s="312" customFormat="1" ht="26.25" customHeight="1" x14ac:dyDescent="0.25">
      <c r="B843" s="342"/>
      <c r="C843" s="342"/>
      <c r="D843" s="342"/>
      <c r="E843" s="342"/>
      <c r="F843" s="342"/>
      <c r="G843" s="342"/>
      <c r="H843" s="342"/>
      <c r="I843" s="342"/>
      <c r="J843" s="342"/>
      <c r="K843" s="342"/>
      <c r="L843" s="342"/>
    </row>
    <row r="844" spans="1:14" s="312" customFormat="1" ht="22.5" customHeight="1" x14ac:dyDescent="0.25">
      <c r="B844" s="342"/>
      <c r="C844" s="342"/>
      <c r="D844" s="342"/>
      <c r="E844" s="342"/>
      <c r="F844" s="342"/>
      <c r="G844" s="342"/>
      <c r="H844" s="342"/>
      <c r="I844" s="342"/>
      <c r="J844" s="342"/>
      <c r="K844" s="342"/>
      <c r="L844" s="342"/>
    </row>
    <row r="845" spans="1:14" s="312" customFormat="1" ht="22.5" customHeight="1" x14ac:dyDescent="0.25">
      <c r="B845" s="342" t="s">
        <v>22</v>
      </c>
      <c r="C845" s="342"/>
      <c r="D845" s="342"/>
      <c r="E845" s="342"/>
      <c r="F845" s="342"/>
      <c r="G845" s="342"/>
      <c r="H845" s="342"/>
      <c r="I845" s="342"/>
      <c r="J845" s="342"/>
      <c r="K845" s="342"/>
      <c r="L845" s="342"/>
    </row>
    <row r="846" spans="1:14" s="312" customFormat="1" ht="64.5" customHeight="1" x14ac:dyDescent="0.25">
      <c r="B846" s="342"/>
      <c r="C846" s="342"/>
      <c r="D846" s="342"/>
      <c r="E846" s="342"/>
      <c r="F846" s="342"/>
      <c r="G846" s="342"/>
      <c r="H846" s="342"/>
      <c r="I846" s="342"/>
      <c r="J846" s="342"/>
      <c r="K846" s="342"/>
      <c r="L846" s="342"/>
    </row>
    <row r="847" spans="1:14" s="312" customFormat="1" ht="27.75" customHeight="1" x14ac:dyDescent="0.25">
      <c r="B847" s="342" t="s">
        <v>20</v>
      </c>
      <c r="C847" s="342"/>
      <c r="D847" s="342"/>
      <c r="E847" s="342"/>
      <c r="F847" s="342"/>
      <c r="G847" s="342"/>
      <c r="H847" s="342"/>
      <c r="I847" s="342"/>
      <c r="J847" s="342"/>
      <c r="K847" s="342"/>
      <c r="L847" s="342"/>
    </row>
    <row r="848" spans="1:14" s="312" customFormat="1" ht="20.100000000000001" customHeight="1" x14ac:dyDescent="0.25">
      <c r="B848" s="342"/>
      <c r="C848" s="342"/>
      <c r="D848" s="342"/>
      <c r="E848" s="342"/>
      <c r="F848" s="342"/>
      <c r="G848" s="342"/>
      <c r="H848" s="342"/>
      <c r="I848" s="342"/>
      <c r="J848" s="342"/>
      <c r="K848" s="342"/>
      <c r="L848" s="342"/>
      <c r="N848" s="343">
        <f>F837+G837+H837</f>
        <v>2417210</v>
      </c>
    </row>
    <row r="849" spans="2:12" s="312" customFormat="1" ht="24.75" customHeight="1" x14ac:dyDescent="0.25">
      <c r="B849" s="342" t="s">
        <v>205</v>
      </c>
      <c r="C849" s="342"/>
      <c r="D849" s="342"/>
      <c r="E849" s="342"/>
      <c r="F849" s="342"/>
      <c r="G849" s="342"/>
      <c r="H849" s="342"/>
      <c r="I849" s="342"/>
      <c r="J849" s="342"/>
      <c r="K849" s="342"/>
      <c r="L849" s="342"/>
    </row>
    <row r="850" spans="2:12" s="312" customFormat="1" ht="41.25" customHeight="1" x14ac:dyDescent="0.25">
      <c r="B850" s="342"/>
      <c r="C850" s="342"/>
      <c r="D850" s="342"/>
      <c r="E850" s="342"/>
      <c r="F850" s="342"/>
      <c r="G850" s="342"/>
      <c r="H850" s="342"/>
      <c r="I850" s="342"/>
      <c r="J850" s="342"/>
      <c r="K850" s="342"/>
      <c r="L850" s="342"/>
    </row>
    <row r="851" spans="2:12" s="312" customFormat="1" ht="120.75" customHeight="1" x14ac:dyDescent="0.25">
      <c r="B851" s="342" t="s">
        <v>326</v>
      </c>
      <c r="C851" s="342"/>
      <c r="D851" s="342"/>
      <c r="E851" s="342"/>
      <c r="F851" s="342"/>
      <c r="G851" s="342"/>
      <c r="H851" s="342"/>
      <c r="I851" s="342"/>
      <c r="J851" s="342"/>
      <c r="K851" s="342"/>
      <c r="L851" s="342"/>
    </row>
    <row r="852" spans="2:12" s="312" customFormat="1" x14ac:dyDescent="0.25">
      <c r="B852" s="344"/>
      <c r="C852" s="344"/>
      <c r="D852" s="344"/>
      <c r="E852" s="344"/>
      <c r="F852" s="344"/>
      <c r="G852" s="344"/>
      <c r="H852" s="344"/>
      <c r="I852" s="344"/>
      <c r="J852" s="344"/>
      <c r="K852" s="344"/>
      <c r="L852" s="344"/>
    </row>
    <row r="853" spans="2:12" s="312" customFormat="1" ht="30.75" x14ac:dyDescent="0.3">
      <c r="B853" s="313" t="s">
        <v>180</v>
      </c>
      <c r="C853" s="313"/>
      <c r="D853" s="313"/>
      <c r="E853" s="314"/>
      <c r="F853" s="314"/>
      <c r="G853" s="315"/>
      <c r="H853" s="315"/>
      <c r="I853" s="315"/>
      <c r="J853" s="315"/>
      <c r="K853" s="316" t="s">
        <v>181</v>
      </c>
      <c r="L853" s="317"/>
    </row>
    <row r="854" spans="2:12" s="312" customFormat="1" ht="20.25" x14ac:dyDescent="0.3">
      <c r="B854" s="315"/>
      <c r="C854" s="318">
        <v>0</v>
      </c>
      <c r="D854" s="315"/>
      <c r="E854" s="315"/>
      <c r="F854" s="315"/>
      <c r="G854" s="315"/>
      <c r="H854" s="315"/>
      <c r="I854" s="315"/>
      <c r="J854" s="315"/>
      <c r="K854" s="319"/>
      <c r="L854" s="317"/>
    </row>
    <row r="855" spans="2:12" s="312" customFormat="1" x14ac:dyDescent="0.3">
      <c r="B855" s="320"/>
    </row>
    <row r="856" spans="2:12" s="312" customFormat="1" x14ac:dyDescent="0.3">
      <c r="B856" s="320"/>
    </row>
    <row r="857" spans="2:12" s="312" customFormat="1" x14ac:dyDescent="0.3">
      <c r="B857" s="320"/>
    </row>
  </sheetData>
  <autoFilter ref="A1:M840">
    <filterColumn colId="3" showButton="0"/>
    <filterColumn colId="4" showButton="0"/>
    <filterColumn colId="5" showButton="0"/>
    <filterColumn colId="6" showButton="0"/>
    <filterColumn colId="7" showButton="0"/>
    <filterColumn colId="8" showButton="0"/>
  </autoFilter>
  <mergeCells count="401">
    <mergeCell ref="K239:K247"/>
    <mergeCell ref="L239:L247"/>
    <mergeCell ref="K248:K286"/>
    <mergeCell ref="L248:L286"/>
    <mergeCell ref="K287:K295"/>
    <mergeCell ref="A287:A295"/>
    <mergeCell ref="D1:J3"/>
    <mergeCell ref="A4:A6"/>
    <mergeCell ref="B4:B6"/>
    <mergeCell ref="D4:D6"/>
    <mergeCell ref="E4:E6"/>
    <mergeCell ref="F4:J4"/>
    <mergeCell ref="A10:L10"/>
    <mergeCell ref="A11:A19"/>
    <mergeCell ref="B11:B19"/>
    <mergeCell ref="K11:K19"/>
    <mergeCell ref="L11:L19"/>
    <mergeCell ref="K4:K6"/>
    <mergeCell ref="L4:L6"/>
    <mergeCell ref="F5:F6"/>
    <mergeCell ref="G5:G6"/>
    <mergeCell ref="H5:H6"/>
    <mergeCell ref="I5:I6"/>
    <mergeCell ref="J5:J6"/>
    <mergeCell ref="A8:A9"/>
    <mergeCell ref="B8:L8"/>
    <mergeCell ref="B9:L9"/>
    <mergeCell ref="A32:L32"/>
    <mergeCell ref="A33:A41"/>
    <mergeCell ref="B33:B41"/>
    <mergeCell ref="K33:K41"/>
    <mergeCell ref="L33:L41"/>
    <mergeCell ref="A20:A28"/>
    <mergeCell ref="B20:B28"/>
    <mergeCell ref="K20:K28"/>
    <mergeCell ref="L20:L28"/>
    <mergeCell ref="K29:L29"/>
    <mergeCell ref="A30:A31"/>
    <mergeCell ref="B30:L30"/>
    <mergeCell ref="B31:L31"/>
    <mergeCell ref="A54:L54"/>
    <mergeCell ref="A55:A63"/>
    <mergeCell ref="B55:B63"/>
    <mergeCell ref="K55:K63"/>
    <mergeCell ref="L55:L63"/>
    <mergeCell ref="A42:A50"/>
    <mergeCell ref="B42:B50"/>
    <mergeCell ref="K42:K50"/>
    <mergeCell ref="L42:L50"/>
    <mergeCell ref="K51:L51"/>
    <mergeCell ref="A52:A53"/>
    <mergeCell ref="B52:L52"/>
    <mergeCell ref="B53:L53"/>
    <mergeCell ref="A67:L67"/>
    <mergeCell ref="B68:B76"/>
    <mergeCell ref="B77:B85"/>
    <mergeCell ref="B86:B94"/>
    <mergeCell ref="B95:B103"/>
    <mergeCell ref="A65:A66"/>
    <mergeCell ref="B65:L65"/>
    <mergeCell ref="B66:L66"/>
    <mergeCell ref="L104:L112"/>
    <mergeCell ref="L68:L103"/>
    <mergeCell ref="K104:K112"/>
    <mergeCell ref="K68:K103"/>
    <mergeCell ref="A68:A103"/>
    <mergeCell ref="A104:A112"/>
    <mergeCell ref="A140:A175"/>
    <mergeCell ref="B140:B148"/>
    <mergeCell ref="K140:K175"/>
    <mergeCell ref="L140:L175"/>
    <mergeCell ref="B149:B157"/>
    <mergeCell ref="B158:B166"/>
    <mergeCell ref="B167:B175"/>
    <mergeCell ref="B104:B112"/>
    <mergeCell ref="A113:A139"/>
    <mergeCell ref="B113:B121"/>
    <mergeCell ref="K113:K139"/>
    <mergeCell ref="L113:L139"/>
    <mergeCell ref="B122:B130"/>
    <mergeCell ref="B131:B139"/>
    <mergeCell ref="A221:A238"/>
    <mergeCell ref="B221:B229"/>
    <mergeCell ref="K221:K238"/>
    <mergeCell ref="L221:L238"/>
    <mergeCell ref="B230:B238"/>
    <mergeCell ref="C230:C237"/>
    <mergeCell ref="B176:B184"/>
    <mergeCell ref="B185:B193"/>
    <mergeCell ref="B194:B202"/>
    <mergeCell ref="B203:B211"/>
    <mergeCell ref="B212:B220"/>
    <mergeCell ref="A176:A211"/>
    <mergeCell ref="A212:A220"/>
    <mergeCell ref="K176:K211"/>
    <mergeCell ref="L176:L211"/>
    <mergeCell ref="K212:K220"/>
    <mergeCell ref="L212:L220"/>
    <mergeCell ref="L287:L295"/>
    <mergeCell ref="A296:A304"/>
    <mergeCell ref="B296:B304"/>
    <mergeCell ref="K296:K304"/>
    <mergeCell ref="L296:L304"/>
    <mergeCell ref="A305:A313"/>
    <mergeCell ref="B305:B313"/>
    <mergeCell ref="C305:C312"/>
    <mergeCell ref="K305:K313"/>
    <mergeCell ref="L305:L313"/>
    <mergeCell ref="B239:B247"/>
    <mergeCell ref="B248:B256"/>
    <mergeCell ref="B257:B259"/>
    <mergeCell ref="B260:B268"/>
    <mergeCell ref="B269:B277"/>
    <mergeCell ref="B278:B286"/>
    <mergeCell ref="B287:B295"/>
    <mergeCell ref="A239:A247"/>
    <mergeCell ref="A248:A286"/>
    <mergeCell ref="A314:A322"/>
    <mergeCell ref="B314:B322"/>
    <mergeCell ref="C314:C321"/>
    <mergeCell ref="K314:K322"/>
    <mergeCell ref="L314:L322"/>
    <mergeCell ref="A323:A331"/>
    <mergeCell ref="B323:B331"/>
    <mergeCell ref="C323:C330"/>
    <mergeCell ref="K323:K331"/>
    <mergeCell ref="L323:L331"/>
    <mergeCell ref="A332:A340"/>
    <mergeCell ref="B332:B340"/>
    <mergeCell ref="C332:C339"/>
    <mergeCell ref="K332:K340"/>
    <mergeCell ref="L332:L340"/>
    <mergeCell ref="A341:A349"/>
    <mergeCell ref="B341:B349"/>
    <mergeCell ref="C341:C348"/>
    <mergeCell ref="K341:K349"/>
    <mergeCell ref="L341:L349"/>
    <mergeCell ref="A350:A358"/>
    <mergeCell ref="B350:B358"/>
    <mergeCell ref="C350:C357"/>
    <mergeCell ref="K350:K358"/>
    <mergeCell ref="L350:L358"/>
    <mergeCell ref="A359:A367"/>
    <mergeCell ref="B359:B367"/>
    <mergeCell ref="C359:C366"/>
    <mergeCell ref="K359:K367"/>
    <mergeCell ref="L359:L367"/>
    <mergeCell ref="A368:A376"/>
    <mergeCell ref="B368:B376"/>
    <mergeCell ref="C368:C375"/>
    <mergeCell ref="K368:K376"/>
    <mergeCell ref="L368:L376"/>
    <mergeCell ref="A377:A385"/>
    <mergeCell ref="B377:B385"/>
    <mergeCell ref="C377:C384"/>
    <mergeCell ref="K377:K385"/>
    <mergeCell ref="L377:L385"/>
    <mergeCell ref="A386:A394"/>
    <mergeCell ref="B386:B394"/>
    <mergeCell ref="C386:C393"/>
    <mergeCell ref="K386:K394"/>
    <mergeCell ref="L386:L394"/>
    <mergeCell ref="A395:A403"/>
    <mergeCell ref="B395:B403"/>
    <mergeCell ref="C395:C402"/>
    <mergeCell ref="K395:K403"/>
    <mergeCell ref="L395:L403"/>
    <mergeCell ref="A422:A430"/>
    <mergeCell ref="B422:B427"/>
    <mergeCell ref="C422:C429"/>
    <mergeCell ref="K422:K430"/>
    <mergeCell ref="L422:L430"/>
    <mergeCell ref="B428:B430"/>
    <mergeCell ref="A404:A412"/>
    <mergeCell ref="B404:B412"/>
    <mergeCell ref="C404:C411"/>
    <mergeCell ref="K404:K412"/>
    <mergeCell ref="L404:L412"/>
    <mergeCell ref="A413:A421"/>
    <mergeCell ref="B413:B421"/>
    <mergeCell ref="C413:C420"/>
    <mergeCell ref="K413:K421"/>
    <mergeCell ref="L413:L421"/>
    <mergeCell ref="A431:A439"/>
    <mergeCell ref="B431:B439"/>
    <mergeCell ref="C431:C438"/>
    <mergeCell ref="K431:K439"/>
    <mergeCell ref="L431:L439"/>
    <mergeCell ref="A440:A448"/>
    <mergeCell ref="B440:B448"/>
    <mergeCell ref="C440:C447"/>
    <mergeCell ref="K440:K448"/>
    <mergeCell ref="L440:L448"/>
    <mergeCell ref="A449:A457"/>
    <mergeCell ref="B449:B457"/>
    <mergeCell ref="C449:C456"/>
    <mergeCell ref="K449:K457"/>
    <mergeCell ref="L449:L457"/>
    <mergeCell ref="A458:A466"/>
    <mergeCell ref="B458:B466"/>
    <mergeCell ref="C458:C465"/>
    <mergeCell ref="K458:K466"/>
    <mergeCell ref="L458:L466"/>
    <mergeCell ref="A467:A475"/>
    <mergeCell ref="B467:B475"/>
    <mergeCell ref="C467:C474"/>
    <mergeCell ref="K467:K475"/>
    <mergeCell ref="L467:L475"/>
    <mergeCell ref="A476:A484"/>
    <mergeCell ref="B476:B484"/>
    <mergeCell ref="C476:C483"/>
    <mergeCell ref="K476:K484"/>
    <mergeCell ref="L476:L484"/>
    <mergeCell ref="A485:A493"/>
    <mergeCell ref="B485:B493"/>
    <mergeCell ref="C485:C492"/>
    <mergeCell ref="K485:K493"/>
    <mergeCell ref="L485:L493"/>
    <mergeCell ref="A494:A502"/>
    <mergeCell ref="B494:B502"/>
    <mergeCell ref="C494:C501"/>
    <mergeCell ref="K494:K502"/>
    <mergeCell ref="L494:L502"/>
    <mergeCell ref="A503:A511"/>
    <mergeCell ref="B503:B511"/>
    <mergeCell ref="C503:C510"/>
    <mergeCell ref="K503:K511"/>
    <mergeCell ref="L503:L511"/>
    <mergeCell ref="A512:A520"/>
    <mergeCell ref="B512:B520"/>
    <mergeCell ref="C512:C519"/>
    <mergeCell ref="K512:K520"/>
    <mergeCell ref="L512:L520"/>
    <mergeCell ref="B536:B538"/>
    <mergeCell ref="A539:A547"/>
    <mergeCell ref="B539:B547"/>
    <mergeCell ref="C539:C546"/>
    <mergeCell ref="K539:K547"/>
    <mergeCell ref="L539:L547"/>
    <mergeCell ref="A521:A529"/>
    <mergeCell ref="B521:B529"/>
    <mergeCell ref="C521:C528"/>
    <mergeCell ref="K521:K529"/>
    <mergeCell ref="L521:L529"/>
    <mergeCell ref="A530:A538"/>
    <mergeCell ref="B530:B535"/>
    <mergeCell ref="C530:C537"/>
    <mergeCell ref="K530:K538"/>
    <mergeCell ref="L530:L538"/>
    <mergeCell ref="A548:A556"/>
    <mergeCell ref="B548:B556"/>
    <mergeCell ref="C548:C555"/>
    <mergeCell ref="K548:K556"/>
    <mergeCell ref="L548:L556"/>
    <mergeCell ref="A557:A565"/>
    <mergeCell ref="B557:B565"/>
    <mergeCell ref="C557:C564"/>
    <mergeCell ref="K557:K565"/>
    <mergeCell ref="L557:L565"/>
    <mergeCell ref="A566:A574"/>
    <mergeCell ref="B566:B574"/>
    <mergeCell ref="C566:C573"/>
    <mergeCell ref="K566:K574"/>
    <mergeCell ref="L566:L574"/>
    <mergeCell ref="A575:A592"/>
    <mergeCell ref="B575:B583"/>
    <mergeCell ref="C575:C582"/>
    <mergeCell ref="K575:K583"/>
    <mergeCell ref="L575:L583"/>
    <mergeCell ref="B584:B592"/>
    <mergeCell ref="C584:C591"/>
    <mergeCell ref="K584:K592"/>
    <mergeCell ref="L584:L592"/>
    <mergeCell ref="A593:A601"/>
    <mergeCell ref="B593:B601"/>
    <mergeCell ref="C593:C600"/>
    <mergeCell ref="K593:K601"/>
    <mergeCell ref="L593:L601"/>
    <mergeCell ref="A602:A610"/>
    <mergeCell ref="B602:B610"/>
    <mergeCell ref="C602:C609"/>
    <mergeCell ref="K602:K610"/>
    <mergeCell ref="L602:L610"/>
    <mergeCell ref="A611:A619"/>
    <mergeCell ref="B611:B619"/>
    <mergeCell ref="C611:C618"/>
    <mergeCell ref="K611:K619"/>
    <mergeCell ref="L611:L619"/>
    <mergeCell ref="A620:A628"/>
    <mergeCell ref="B620:B628"/>
    <mergeCell ref="C620:C627"/>
    <mergeCell ref="K620:K628"/>
    <mergeCell ref="L620:L628"/>
    <mergeCell ref="A629:A637"/>
    <mergeCell ref="B629:B637"/>
    <mergeCell ref="C629:C636"/>
    <mergeCell ref="K629:K637"/>
    <mergeCell ref="L629:L637"/>
    <mergeCell ref="B653:B655"/>
    <mergeCell ref="A656:A664"/>
    <mergeCell ref="B656:B664"/>
    <mergeCell ref="C656:C663"/>
    <mergeCell ref="K656:K664"/>
    <mergeCell ref="L656:L664"/>
    <mergeCell ref="A638:A646"/>
    <mergeCell ref="B638:B646"/>
    <mergeCell ref="C638:C645"/>
    <mergeCell ref="K638:K646"/>
    <mergeCell ref="L638:L646"/>
    <mergeCell ref="A647:A655"/>
    <mergeCell ref="B647:B652"/>
    <mergeCell ref="C647:C654"/>
    <mergeCell ref="K647:K655"/>
    <mergeCell ref="L647:L655"/>
    <mergeCell ref="A665:A673"/>
    <mergeCell ref="B665:B673"/>
    <mergeCell ref="C665:C672"/>
    <mergeCell ref="K665:K673"/>
    <mergeCell ref="L665:L673"/>
    <mergeCell ref="A674:A682"/>
    <mergeCell ref="B674:B679"/>
    <mergeCell ref="C674:C681"/>
    <mergeCell ref="K674:K682"/>
    <mergeCell ref="L674:L682"/>
    <mergeCell ref="A701:A709"/>
    <mergeCell ref="B701:B709"/>
    <mergeCell ref="K701:K709"/>
    <mergeCell ref="L701:L709"/>
    <mergeCell ref="A710:A718"/>
    <mergeCell ref="B710:B718"/>
    <mergeCell ref="K710:K718"/>
    <mergeCell ref="L710:L718"/>
    <mergeCell ref="B680:B682"/>
    <mergeCell ref="A683:A691"/>
    <mergeCell ref="B683:B691"/>
    <mergeCell ref="K683:K691"/>
    <mergeCell ref="L683:L691"/>
    <mergeCell ref="A692:A700"/>
    <mergeCell ref="B692:B700"/>
    <mergeCell ref="K692:K700"/>
    <mergeCell ref="L692:L700"/>
    <mergeCell ref="A737:A745"/>
    <mergeCell ref="B737:B745"/>
    <mergeCell ref="K737:K745"/>
    <mergeCell ref="L737:L745"/>
    <mergeCell ref="A746:A754"/>
    <mergeCell ref="B746:B754"/>
    <mergeCell ref="K746:K754"/>
    <mergeCell ref="L746:L754"/>
    <mergeCell ref="A719:A727"/>
    <mergeCell ref="B719:B727"/>
    <mergeCell ref="K719:K727"/>
    <mergeCell ref="L719:L727"/>
    <mergeCell ref="A728:A736"/>
    <mergeCell ref="B728:B736"/>
    <mergeCell ref="K728:K736"/>
    <mergeCell ref="L728:L736"/>
    <mergeCell ref="A773:A781"/>
    <mergeCell ref="B773:B781"/>
    <mergeCell ref="K773:K781"/>
    <mergeCell ref="L773:L781"/>
    <mergeCell ref="A782:A790"/>
    <mergeCell ref="B782:B790"/>
    <mergeCell ref="K782:K790"/>
    <mergeCell ref="L782:L790"/>
    <mergeCell ref="A755:A763"/>
    <mergeCell ref="B755:B763"/>
    <mergeCell ref="K755:K763"/>
    <mergeCell ref="L755:L763"/>
    <mergeCell ref="A764:A772"/>
    <mergeCell ref="B764:B772"/>
    <mergeCell ref="K764:K772"/>
    <mergeCell ref="L764:L772"/>
    <mergeCell ref="A811:L811"/>
    <mergeCell ref="A812:A820"/>
    <mergeCell ref="B812:B820"/>
    <mergeCell ref="K812:K820"/>
    <mergeCell ref="L812:L820"/>
    <mergeCell ref="A791:A799"/>
    <mergeCell ref="B791:B799"/>
    <mergeCell ref="K791:K799"/>
    <mergeCell ref="L791:L799"/>
    <mergeCell ref="A800:A808"/>
    <mergeCell ref="B800:B808"/>
    <mergeCell ref="K800:K808"/>
    <mergeCell ref="L800:L808"/>
    <mergeCell ref="B810:L810"/>
    <mergeCell ref="B842:L844"/>
    <mergeCell ref="B845:L846"/>
    <mergeCell ref="B847:L848"/>
    <mergeCell ref="B849:L850"/>
    <mergeCell ref="B851:L851"/>
    <mergeCell ref="B853:D853"/>
    <mergeCell ref="A821:A829"/>
    <mergeCell ref="B821:B829"/>
    <mergeCell ref="K821:K829"/>
    <mergeCell ref="L821:L829"/>
    <mergeCell ref="A831:A840"/>
    <mergeCell ref="B831:B840"/>
    <mergeCell ref="K831:K840"/>
    <mergeCell ref="L831:L840"/>
  </mergeCells>
  <pageMargins left="0.78740157480314965" right="0.78740157480314965" top="1.1811023622047245" bottom="0.94" header="0" footer="0"/>
  <pageSetup paperSize="9" scale="54" fitToHeight="37" orientation="landscape" r:id="rId1"/>
  <rowBreaks count="16" manualBreakCount="16">
    <brk id="29" max="11" man="1"/>
    <brk id="103" max="11" man="1"/>
    <brk id="139" max="11" man="1"/>
    <brk id="175" max="11" man="1"/>
    <brk id="211" max="11" man="1"/>
    <brk id="247" max="11" man="1"/>
    <brk id="286" max="11" man="1"/>
    <brk id="322" max="11" man="1"/>
    <brk id="349" max="11" man="1"/>
    <brk id="403" max="11" man="1"/>
    <brk id="502" max="11" man="1"/>
    <brk id="529" max="11" man="1"/>
    <brk id="547" max="11" man="1"/>
    <brk id="574" max="11" man="1"/>
    <brk id="601" max="11" man="1"/>
    <brk id="65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opLeftCell="A13" workbookViewId="0">
      <selection activeCell="C46" sqref="C46"/>
    </sheetView>
  </sheetViews>
  <sheetFormatPr defaultRowHeight="18.75" x14ac:dyDescent="0.3"/>
  <cols>
    <col min="1" max="1" width="6.28515625" style="3" bestFit="1" customWidth="1"/>
    <col min="2" max="2" width="92.7109375" style="2" bestFit="1" customWidth="1"/>
    <col min="3" max="3" width="18.7109375" style="2" bestFit="1" customWidth="1"/>
    <col min="4" max="7" width="8.42578125" style="2" bestFit="1" customWidth="1"/>
    <col min="8" max="8" width="9.28515625" style="2" bestFit="1" customWidth="1"/>
    <col min="9" max="9" width="8.42578125" style="2" bestFit="1" customWidth="1"/>
    <col min="10" max="10" width="7.7109375" style="2" customWidth="1"/>
    <col min="11" max="11" width="8.42578125" style="2" bestFit="1" customWidth="1"/>
    <col min="12" max="16384" width="9.140625" style="2"/>
  </cols>
  <sheetData>
    <row r="1" spans="1:11" ht="45" customHeight="1" x14ac:dyDescent="0.3">
      <c r="F1" s="39" t="s">
        <v>289</v>
      </c>
      <c r="G1" s="39"/>
      <c r="H1" s="39"/>
      <c r="I1" s="39"/>
      <c r="J1" s="39"/>
      <c r="K1" s="39"/>
    </row>
    <row r="2" spans="1:11" ht="18.75" customHeight="1" x14ac:dyDescent="0.3">
      <c r="B2" s="11"/>
      <c r="C2" s="11"/>
      <c r="D2" s="11"/>
      <c r="E2" s="13"/>
      <c r="F2" s="13"/>
      <c r="G2" s="13"/>
      <c r="H2" s="13"/>
      <c r="I2" s="13"/>
      <c r="J2" s="13"/>
      <c r="K2" s="13"/>
    </row>
    <row r="3" spans="1:11" ht="18.75" customHeight="1" x14ac:dyDescent="0.3">
      <c r="B3" s="40" t="s">
        <v>290</v>
      </c>
      <c r="C3" s="40"/>
      <c r="D3" s="40"/>
      <c r="E3" s="40"/>
      <c r="F3" s="40"/>
      <c r="G3" s="40"/>
      <c r="H3" s="40"/>
      <c r="I3" s="40"/>
      <c r="J3" s="40"/>
      <c r="K3" s="40"/>
    </row>
    <row r="4" spans="1:11" ht="18.75" customHeight="1" x14ac:dyDescent="0.3">
      <c r="B4" s="40"/>
      <c r="C4" s="40"/>
      <c r="D4" s="40"/>
      <c r="E4" s="40"/>
      <c r="F4" s="40"/>
      <c r="G4" s="40"/>
      <c r="H4" s="40"/>
      <c r="I4" s="40"/>
      <c r="J4" s="40"/>
      <c r="K4" s="40"/>
    </row>
    <row r="5" spans="1:11" ht="21.75" customHeight="1" x14ac:dyDescent="0.3">
      <c r="B5" s="12"/>
      <c r="C5" s="12"/>
      <c r="D5" s="12"/>
      <c r="E5" s="14"/>
      <c r="F5" s="14"/>
      <c r="G5" s="14"/>
      <c r="H5" s="14"/>
      <c r="I5" s="14"/>
      <c r="J5" s="14"/>
      <c r="K5" s="14"/>
    </row>
    <row r="6" spans="1:11" s="1" customFormat="1" x14ac:dyDescent="0.3">
      <c r="A6" s="41" t="s">
        <v>218</v>
      </c>
      <c r="B6" s="44" t="s">
        <v>219</v>
      </c>
      <c r="C6" s="47" t="s">
        <v>220</v>
      </c>
      <c r="D6" s="47" t="s">
        <v>221</v>
      </c>
      <c r="E6" s="47"/>
      <c r="F6" s="47"/>
      <c r="G6" s="47"/>
      <c r="H6" s="47"/>
      <c r="I6" s="47"/>
      <c r="J6" s="47"/>
      <c r="K6" s="5"/>
    </row>
    <row r="7" spans="1:11" x14ac:dyDescent="0.3">
      <c r="A7" s="42"/>
      <c r="B7" s="45"/>
      <c r="C7" s="47"/>
      <c r="D7" s="6">
        <v>2018</v>
      </c>
      <c r="E7" s="6">
        <v>2019</v>
      </c>
      <c r="F7" s="6">
        <v>2020</v>
      </c>
      <c r="G7" s="6">
        <v>2021</v>
      </c>
      <c r="H7" s="6">
        <v>2022</v>
      </c>
      <c r="I7" s="6">
        <v>2023</v>
      </c>
      <c r="J7" s="6">
        <v>2024</v>
      </c>
      <c r="K7" s="6">
        <v>2025</v>
      </c>
    </row>
    <row r="8" spans="1:11" x14ac:dyDescent="0.3">
      <c r="A8" s="43"/>
      <c r="B8" s="46"/>
      <c r="C8" s="47"/>
      <c r="D8" s="6" t="s">
        <v>222</v>
      </c>
      <c r="E8" s="6" t="s">
        <v>222</v>
      </c>
      <c r="F8" s="6" t="s">
        <v>222</v>
      </c>
      <c r="G8" s="6" t="s">
        <v>222</v>
      </c>
      <c r="H8" s="6" t="s">
        <v>222</v>
      </c>
      <c r="I8" s="6" t="s">
        <v>222</v>
      </c>
      <c r="J8" s="6" t="s">
        <v>222</v>
      </c>
      <c r="K8" s="6" t="s">
        <v>222</v>
      </c>
    </row>
    <row r="9" spans="1:11" x14ac:dyDescent="0.3">
      <c r="A9" s="6">
        <v>1</v>
      </c>
      <c r="B9" s="6">
        <v>2</v>
      </c>
      <c r="C9" s="6">
        <v>3</v>
      </c>
      <c r="D9" s="6">
        <v>4</v>
      </c>
      <c r="E9" s="6">
        <v>5</v>
      </c>
      <c r="F9" s="6">
        <v>6</v>
      </c>
      <c r="G9" s="6">
        <v>7</v>
      </c>
      <c r="H9" s="6">
        <v>8</v>
      </c>
      <c r="I9" s="6">
        <v>9</v>
      </c>
      <c r="J9" s="6">
        <v>10</v>
      </c>
      <c r="K9" s="6">
        <v>11</v>
      </c>
    </row>
    <row r="10" spans="1:11" ht="37.5" x14ac:dyDescent="0.3">
      <c r="A10" s="6" t="s">
        <v>2</v>
      </c>
      <c r="B10" s="8" t="s">
        <v>223</v>
      </c>
      <c r="C10" s="6" t="s">
        <v>224</v>
      </c>
      <c r="D10" s="6">
        <v>76</v>
      </c>
      <c r="E10" s="6">
        <v>70.900000000000006</v>
      </c>
      <c r="F10" s="6">
        <v>72</v>
      </c>
      <c r="G10" s="6">
        <v>75</v>
      </c>
      <c r="H10" s="6">
        <v>77</v>
      </c>
      <c r="I10" s="6">
        <v>77</v>
      </c>
      <c r="J10" s="6">
        <v>77</v>
      </c>
      <c r="K10" s="6">
        <v>77</v>
      </c>
    </row>
    <row r="11" spans="1:11" x14ac:dyDescent="0.3">
      <c r="A11" s="6" t="s">
        <v>12</v>
      </c>
      <c r="B11" s="8" t="s">
        <v>225</v>
      </c>
      <c r="C11" s="6" t="s">
        <v>226</v>
      </c>
      <c r="D11" s="6">
        <v>0.05</v>
      </c>
      <c r="E11" s="6">
        <v>0.04</v>
      </c>
      <c r="F11" s="6">
        <v>0</v>
      </c>
      <c r="G11" s="6">
        <v>0</v>
      </c>
      <c r="H11" s="6">
        <v>0</v>
      </c>
      <c r="I11" s="6">
        <v>0.5</v>
      </c>
      <c r="J11" s="6">
        <v>0</v>
      </c>
      <c r="K11" s="6">
        <v>0</v>
      </c>
    </row>
    <row r="12" spans="1:11" ht="75" x14ac:dyDescent="0.3">
      <c r="A12" s="6" t="s">
        <v>32</v>
      </c>
      <c r="B12" s="8" t="s">
        <v>227</v>
      </c>
      <c r="C12" s="6" t="s">
        <v>224</v>
      </c>
      <c r="D12" s="6">
        <v>100</v>
      </c>
      <c r="E12" s="6">
        <v>100</v>
      </c>
      <c r="F12" s="6">
        <v>100</v>
      </c>
      <c r="G12" s="6">
        <v>100</v>
      </c>
      <c r="H12" s="6">
        <v>100</v>
      </c>
      <c r="I12" s="6">
        <v>100</v>
      </c>
      <c r="J12" s="6">
        <v>100</v>
      </c>
      <c r="K12" s="6">
        <v>100</v>
      </c>
    </row>
    <row r="13" spans="1:11" ht="63.75" customHeight="1" x14ac:dyDescent="0.3">
      <c r="A13" s="6" t="s">
        <v>36</v>
      </c>
      <c r="B13" s="8" t="s">
        <v>228</v>
      </c>
      <c r="C13" s="6" t="s">
        <v>224</v>
      </c>
      <c r="D13" s="6">
        <v>100</v>
      </c>
      <c r="E13" s="6">
        <v>100</v>
      </c>
      <c r="F13" s="6">
        <v>100</v>
      </c>
      <c r="G13" s="6">
        <v>100</v>
      </c>
      <c r="H13" s="6">
        <v>100</v>
      </c>
      <c r="I13" s="6">
        <v>100</v>
      </c>
      <c r="J13" s="6">
        <v>100</v>
      </c>
      <c r="K13" s="6">
        <v>100</v>
      </c>
    </row>
    <row r="14" spans="1:11" x14ac:dyDescent="0.3">
      <c r="A14" s="47" t="s">
        <v>229</v>
      </c>
      <c r="B14" s="48" t="s">
        <v>230</v>
      </c>
      <c r="C14" s="47" t="s">
        <v>231</v>
      </c>
      <c r="D14" s="47">
        <v>13.494</v>
      </c>
      <c r="E14" s="47">
        <v>13.927</v>
      </c>
      <c r="F14" s="47">
        <v>14.237</v>
      </c>
      <c r="G14" s="47">
        <v>14.621</v>
      </c>
      <c r="H14" s="47">
        <v>15.079000000000001</v>
      </c>
      <c r="I14" s="47">
        <v>15.291</v>
      </c>
      <c r="J14" s="47">
        <v>15.291</v>
      </c>
      <c r="K14" s="47">
        <v>15.291</v>
      </c>
    </row>
    <row r="15" spans="1:11" x14ac:dyDescent="0.3">
      <c r="A15" s="47"/>
      <c r="B15" s="48"/>
      <c r="C15" s="47"/>
      <c r="D15" s="47"/>
      <c r="E15" s="47"/>
      <c r="F15" s="47"/>
      <c r="G15" s="47"/>
      <c r="H15" s="47"/>
      <c r="I15" s="47"/>
      <c r="J15" s="47"/>
      <c r="K15" s="47"/>
    </row>
    <row r="16" spans="1:11" x14ac:dyDescent="0.3">
      <c r="A16" s="47" t="s">
        <v>232</v>
      </c>
      <c r="B16" s="48" t="s">
        <v>233</v>
      </c>
      <c r="C16" s="47" t="s">
        <v>234</v>
      </c>
      <c r="D16" s="47">
        <v>16</v>
      </c>
      <c r="E16" s="47">
        <v>16</v>
      </c>
      <c r="F16" s="47">
        <v>19</v>
      </c>
      <c r="G16" s="47">
        <v>19</v>
      </c>
      <c r="H16" s="47">
        <v>19</v>
      </c>
      <c r="I16" s="47">
        <v>19</v>
      </c>
      <c r="J16" s="47">
        <v>19</v>
      </c>
      <c r="K16" s="47">
        <v>19</v>
      </c>
    </row>
    <row r="17" spans="1:11" x14ac:dyDescent="0.3">
      <c r="A17" s="47"/>
      <c r="B17" s="48"/>
      <c r="C17" s="47"/>
      <c r="D17" s="47"/>
      <c r="E17" s="47"/>
      <c r="F17" s="47"/>
      <c r="G17" s="47"/>
      <c r="H17" s="47"/>
      <c r="I17" s="47"/>
      <c r="J17" s="47"/>
      <c r="K17" s="47"/>
    </row>
    <row r="18" spans="1:11" ht="56.25" x14ac:dyDescent="0.3">
      <c r="A18" s="6" t="s">
        <v>235</v>
      </c>
      <c r="B18" s="8" t="s">
        <v>236</v>
      </c>
      <c r="C18" s="6" t="s">
        <v>224</v>
      </c>
      <c r="D18" s="6">
        <v>89.6</v>
      </c>
      <c r="E18" s="6">
        <v>90</v>
      </c>
      <c r="F18" s="6">
        <v>100</v>
      </c>
      <c r="G18" s="6">
        <v>100</v>
      </c>
      <c r="H18" s="6">
        <v>100</v>
      </c>
      <c r="I18" s="6">
        <v>100</v>
      </c>
      <c r="J18" s="6">
        <v>100</v>
      </c>
      <c r="K18" s="6">
        <v>100</v>
      </c>
    </row>
    <row r="19" spans="1:11" ht="56.25" x14ac:dyDescent="0.3">
      <c r="A19" s="6" t="s">
        <v>237</v>
      </c>
      <c r="B19" s="8" t="s">
        <v>238</v>
      </c>
      <c r="C19" s="6" t="s">
        <v>224</v>
      </c>
      <c r="D19" s="6">
        <v>1.5</v>
      </c>
      <c r="E19" s="6">
        <v>0.5</v>
      </c>
      <c r="F19" s="6">
        <v>0</v>
      </c>
      <c r="G19" s="6">
        <v>0</v>
      </c>
      <c r="H19" s="6">
        <v>0</v>
      </c>
      <c r="I19" s="6">
        <v>0</v>
      </c>
      <c r="J19" s="6">
        <v>0</v>
      </c>
      <c r="K19" s="6">
        <v>0</v>
      </c>
    </row>
    <row r="20" spans="1:11" ht="56.25" x14ac:dyDescent="0.3">
      <c r="A20" s="6" t="s">
        <v>239</v>
      </c>
      <c r="B20" s="8" t="s">
        <v>240</v>
      </c>
      <c r="C20" s="6" t="s">
        <v>224</v>
      </c>
      <c r="D20" s="6">
        <v>100</v>
      </c>
      <c r="E20" s="6">
        <v>100</v>
      </c>
      <c r="F20" s="6">
        <v>100</v>
      </c>
      <c r="G20" s="6">
        <v>100</v>
      </c>
      <c r="H20" s="6">
        <v>100</v>
      </c>
      <c r="I20" s="6">
        <v>100</v>
      </c>
      <c r="J20" s="6">
        <v>100</v>
      </c>
      <c r="K20" s="6">
        <v>100</v>
      </c>
    </row>
    <row r="21" spans="1:11" ht="37.5" x14ac:dyDescent="0.3">
      <c r="A21" s="6" t="s">
        <v>241</v>
      </c>
      <c r="B21" s="8" t="s">
        <v>242</v>
      </c>
      <c r="C21" s="6" t="s">
        <v>243</v>
      </c>
      <c r="D21" s="6">
        <v>20</v>
      </c>
      <c r="E21" s="6">
        <v>20</v>
      </c>
      <c r="F21" s="6">
        <v>20</v>
      </c>
      <c r="G21" s="6">
        <v>20</v>
      </c>
      <c r="H21" s="6">
        <v>20</v>
      </c>
      <c r="I21" s="6">
        <v>20</v>
      </c>
      <c r="J21" s="6">
        <v>20</v>
      </c>
      <c r="K21" s="6">
        <v>20</v>
      </c>
    </row>
    <row r="22" spans="1:11" ht="37.5" x14ac:dyDescent="0.3">
      <c r="A22" s="6" t="s">
        <v>244</v>
      </c>
      <c r="B22" s="8" t="s">
        <v>245</v>
      </c>
      <c r="C22" s="6" t="s">
        <v>224</v>
      </c>
      <c r="D22" s="6">
        <v>35</v>
      </c>
      <c r="E22" s="6">
        <v>57</v>
      </c>
      <c r="F22" s="6">
        <v>60</v>
      </c>
      <c r="G22" s="6">
        <v>60</v>
      </c>
      <c r="H22" s="6">
        <v>80</v>
      </c>
      <c r="I22" s="6">
        <v>100</v>
      </c>
      <c r="J22" s="6">
        <v>100</v>
      </c>
      <c r="K22" s="6">
        <v>100</v>
      </c>
    </row>
    <row r="23" spans="1:11" ht="56.25" x14ac:dyDescent="0.3">
      <c r="A23" s="6" t="s">
        <v>246</v>
      </c>
      <c r="B23" s="8" t="s">
        <v>247</v>
      </c>
      <c r="C23" s="6" t="s">
        <v>224</v>
      </c>
      <c r="D23" s="6">
        <v>99</v>
      </c>
      <c r="E23" s="6">
        <v>99</v>
      </c>
      <c r="F23" s="6">
        <v>99</v>
      </c>
      <c r="G23" s="6">
        <v>99</v>
      </c>
      <c r="H23" s="6">
        <v>99</v>
      </c>
      <c r="I23" s="6">
        <v>99</v>
      </c>
      <c r="J23" s="6">
        <v>99</v>
      </c>
      <c r="K23" s="6">
        <v>99</v>
      </c>
    </row>
    <row r="24" spans="1:11" ht="37.5" x14ac:dyDescent="0.3">
      <c r="A24" s="6" t="s">
        <v>248</v>
      </c>
      <c r="B24" s="8" t="s">
        <v>249</v>
      </c>
      <c r="C24" s="6" t="s">
        <v>224</v>
      </c>
      <c r="D24" s="6">
        <v>50</v>
      </c>
      <c r="E24" s="6">
        <v>55</v>
      </c>
      <c r="F24" s="6">
        <v>60</v>
      </c>
      <c r="G24" s="6">
        <v>70</v>
      </c>
      <c r="H24" s="6">
        <v>70</v>
      </c>
      <c r="I24" s="6">
        <v>70</v>
      </c>
      <c r="J24" s="6">
        <v>70</v>
      </c>
      <c r="K24" s="6">
        <v>70</v>
      </c>
    </row>
    <row r="25" spans="1:11" ht="75" x14ac:dyDescent="0.3">
      <c r="A25" s="6">
        <v>14</v>
      </c>
      <c r="B25" s="7" t="s">
        <v>250</v>
      </c>
      <c r="C25" s="6" t="s">
        <v>224</v>
      </c>
      <c r="D25" s="6">
        <v>0</v>
      </c>
      <c r="E25" s="6">
        <v>0</v>
      </c>
      <c r="F25" s="6">
        <v>22</v>
      </c>
      <c r="G25" s="6">
        <v>22</v>
      </c>
      <c r="H25" s="6">
        <v>22</v>
      </c>
      <c r="I25" s="6">
        <v>22</v>
      </c>
      <c r="J25" s="6">
        <v>22</v>
      </c>
      <c r="K25" s="6">
        <v>22</v>
      </c>
    </row>
    <row r="26" spans="1:11" x14ac:dyDescent="0.3">
      <c r="A26" s="6" t="s">
        <v>251</v>
      </c>
      <c r="B26" s="7" t="s">
        <v>252</v>
      </c>
      <c r="C26" s="6" t="s">
        <v>253</v>
      </c>
      <c r="D26" s="6">
        <v>10</v>
      </c>
      <c r="E26" s="6">
        <v>12</v>
      </c>
      <c r="F26" s="6">
        <v>11</v>
      </c>
      <c r="G26" s="6">
        <v>12</v>
      </c>
      <c r="H26" s="6">
        <v>12</v>
      </c>
      <c r="I26" s="6">
        <v>12</v>
      </c>
      <c r="J26" s="6">
        <v>12</v>
      </c>
      <c r="K26" s="6">
        <v>12</v>
      </c>
    </row>
    <row r="27" spans="1:11" x14ac:dyDescent="0.3">
      <c r="A27" s="6" t="s">
        <v>254</v>
      </c>
      <c r="B27" s="8" t="s">
        <v>255</v>
      </c>
      <c r="C27" s="6" t="s">
        <v>224</v>
      </c>
      <c r="D27" s="6">
        <v>100</v>
      </c>
      <c r="E27" s="6">
        <v>100</v>
      </c>
      <c r="F27" s="6">
        <v>100</v>
      </c>
      <c r="G27" s="6">
        <v>100</v>
      </c>
      <c r="H27" s="6">
        <v>100</v>
      </c>
      <c r="I27" s="6">
        <v>100</v>
      </c>
      <c r="J27" s="6">
        <v>100</v>
      </c>
      <c r="K27" s="6">
        <v>100</v>
      </c>
    </row>
    <row r="28" spans="1:11" ht="37.5" x14ac:dyDescent="0.3">
      <c r="A28" s="6" t="s">
        <v>256</v>
      </c>
      <c r="B28" s="8" t="s">
        <v>257</v>
      </c>
      <c r="C28" s="6" t="s">
        <v>224</v>
      </c>
      <c r="D28" s="6">
        <v>20</v>
      </c>
      <c r="E28" s="6">
        <v>0</v>
      </c>
      <c r="F28" s="6">
        <v>0</v>
      </c>
      <c r="G28" s="6">
        <v>0</v>
      </c>
      <c r="H28" s="6">
        <v>0</v>
      </c>
      <c r="I28" s="6">
        <v>0</v>
      </c>
      <c r="J28" s="6">
        <v>0</v>
      </c>
      <c r="K28" s="6">
        <v>0</v>
      </c>
    </row>
    <row r="29" spans="1:11" x14ac:dyDescent="0.3">
      <c r="A29" s="6" t="s">
        <v>258</v>
      </c>
      <c r="B29" s="8" t="s">
        <v>259</v>
      </c>
      <c r="C29" s="6" t="s">
        <v>260</v>
      </c>
      <c r="D29" s="6">
        <v>30</v>
      </c>
      <c r="E29" s="6">
        <v>30</v>
      </c>
      <c r="F29" s="6">
        <v>30</v>
      </c>
      <c r="G29" s="6">
        <v>30</v>
      </c>
      <c r="H29" s="6">
        <v>30</v>
      </c>
      <c r="I29" s="6">
        <v>30</v>
      </c>
      <c r="J29" s="6">
        <v>30</v>
      </c>
      <c r="K29" s="6">
        <v>30</v>
      </c>
    </row>
    <row r="30" spans="1:11" x14ac:dyDescent="0.3">
      <c r="A30" s="6" t="s">
        <v>261</v>
      </c>
      <c r="B30" s="8" t="s">
        <v>262</v>
      </c>
      <c r="C30" s="6" t="s">
        <v>263</v>
      </c>
      <c r="D30" s="6">
        <v>2</v>
      </c>
      <c r="E30" s="6">
        <v>8</v>
      </c>
      <c r="F30" s="6">
        <v>9</v>
      </c>
      <c r="G30" s="6">
        <v>6</v>
      </c>
      <c r="H30" s="6">
        <v>8</v>
      </c>
      <c r="I30" s="6">
        <v>0</v>
      </c>
      <c r="J30" s="6">
        <v>0</v>
      </c>
      <c r="K30" s="6">
        <v>0</v>
      </c>
    </row>
    <row r="31" spans="1:11" ht="37.5" x14ac:dyDescent="0.3">
      <c r="A31" s="6" t="s">
        <v>264</v>
      </c>
      <c r="B31" s="8" t="s">
        <v>265</v>
      </c>
      <c r="C31" s="6" t="s">
        <v>266</v>
      </c>
      <c r="D31" s="6">
        <v>6</v>
      </c>
      <c r="E31" s="6">
        <v>8</v>
      </c>
      <c r="F31" s="6">
        <v>8</v>
      </c>
      <c r="G31" s="9">
        <v>9</v>
      </c>
      <c r="H31" s="6">
        <v>5</v>
      </c>
      <c r="I31" s="6">
        <v>1</v>
      </c>
      <c r="J31" s="6">
        <v>0</v>
      </c>
      <c r="K31" s="6">
        <v>0</v>
      </c>
    </row>
    <row r="32" spans="1:11" x14ac:dyDescent="0.3">
      <c r="A32" s="47" t="s">
        <v>267</v>
      </c>
      <c r="B32" s="48" t="s">
        <v>268</v>
      </c>
      <c r="C32" s="47" t="s">
        <v>263</v>
      </c>
      <c r="D32" s="47">
        <v>3</v>
      </c>
      <c r="E32" s="47">
        <v>3</v>
      </c>
      <c r="F32" s="47">
        <v>3</v>
      </c>
      <c r="G32" s="47">
        <v>3</v>
      </c>
      <c r="H32" s="47">
        <v>0</v>
      </c>
      <c r="I32" s="47">
        <v>0</v>
      </c>
      <c r="J32" s="47">
        <v>0</v>
      </c>
      <c r="K32" s="47">
        <v>0</v>
      </c>
    </row>
    <row r="33" spans="1:11" x14ac:dyDescent="0.3">
      <c r="A33" s="47"/>
      <c r="B33" s="48"/>
      <c r="C33" s="47"/>
      <c r="D33" s="47"/>
      <c r="E33" s="47"/>
      <c r="F33" s="47"/>
      <c r="G33" s="47"/>
      <c r="H33" s="47"/>
      <c r="I33" s="47"/>
      <c r="J33" s="47"/>
      <c r="K33" s="47"/>
    </row>
    <row r="34" spans="1:11" ht="56.25" x14ac:dyDescent="0.3">
      <c r="A34" s="6" t="s">
        <v>269</v>
      </c>
      <c r="B34" s="8" t="s">
        <v>270</v>
      </c>
      <c r="C34" s="6" t="s">
        <v>271</v>
      </c>
      <c r="D34" s="6">
        <v>100</v>
      </c>
      <c r="E34" s="6">
        <v>100</v>
      </c>
      <c r="F34" s="6">
        <v>100</v>
      </c>
      <c r="G34" s="6">
        <v>100</v>
      </c>
      <c r="H34" s="6">
        <v>100</v>
      </c>
      <c r="I34" s="6">
        <v>100</v>
      </c>
      <c r="J34" s="6">
        <v>100</v>
      </c>
      <c r="K34" s="6">
        <v>100</v>
      </c>
    </row>
    <row r="35" spans="1:11" ht="37.5" x14ac:dyDescent="0.3">
      <c r="A35" s="6" t="s">
        <v>272</v>
      </c>
      <c r="B35" s="8" t="s">
        <v>273</v>
      </c>
      <c r="C35" s="6" t="s">
        <v>263</v>
      </c>
      <c r="D35" s="6">
        <v>0</v>
      </c>
      <c r="E35" s="6">
        <v>0</v>
      </c>
      <c r="F35" s="6">
        <v>0</v>
      </c>
      <c r="G35" s="6">
        <v>0</v>
      </c>
      <c r="H35" s="6">
        <v>2</v>
      </c>
      <c r="I35" s="6">
        <v>0</v>
      </c>
      <c r="J35" s="6">
        <v>0</v>
      </c>
      <c r="K35" s="6">
        <v>0</v>
      </c>
    </row>
    <row r="36" spans="1:11" ht="37.5" x14ac:dyDescent="0.3">
      <c r="A36" s="6" t="s">
        <v>274</v>
      </c>
      <c r="B36" s="8" t="s">
        <v>275</v>
      </c>
      <c r="C36" s="6" t="s">
        <v>266</v>
      </c>
      <c r="D36" s="6">
        <v>2</v>
      </c>
      <c r="E36" s="6">
        <v>0</v>
      </c>
      <c r="F36" s="6">
        <v>29</v>
      </c>
      <c r="G36" s="6">
        <v>0</v>
      </c>
      <c r="H36" s="6">
        <v>12</v>
      </c>
      <c r="I36" s="6">
        <v>13</v>
      </c>
      <c r="J36" s="6">
        <v>0</v>
      </c>
      <c r="K36" s="6">
        <v>0</v>
      </c>
    </row>
    <row r="37" spans="1:11" x14ac:dyDescent="0.3">
      <c r="A37" s="6" t="s">
        <v>276</v>
      </c>
      <c r="B37" s="8" t="s">
        <v>277</v>
      </c>
      <c r="C37" s="6" t="s">
        <v>271</v>
      </c>
      <c r="D37" s="6">
        <v>100</v>
      </c>
      <c r="E37" s="6">
        <v>100</v>
      </c>
      <c r="F37" s="6">
        <v>100</v>
      </c>
      <c r="G37" s="6">
        <v>100</v>
      </c>
      <c r="H37" s="6">
        <v>100</v>
      </c>
      <c r="I37" s="6">
        <v>100</v>
      </c>
      <c r="J37" s="6">
        <v>100</v>
      </c>
      <c r="K37" s="6">
        <v>100</v>
      </c>
    </row>
    <row r="38" spans="1:11" ht="75" x14ac:dyDescent="0.3">
      <c r="A38" s="6" t="s">
        <v>278</v>
      </c>
      <c r="B38" s="8" t="s">
        <v>279</v>
      </c>
      <c r="C38" s="6" t="s">
        <v>266</v>
      </c>
      <c r="D38" s="6">
        <v>1</v>
      </c>
      <c r="E38" s="6">
        <v>1</v>
      </c>
      <c r="F38" s="6">
        <v>0</v>
      </c>
      <c r="G38" s="6">
        <v>0</v>
      </c>
      <c r="H38" s="6">
        <v>0</v>
      </c>
      <c r="I38" s="6">
        <v>0</v>
      </c>
      <c r="J38" s="6">
        <v>0</v>
      </c>
      <c r="K38" s="6">
        <v>0</v>
      </c>
    </row>
    <row r="39" spans="1:11" x14ac:dyDescent="0.3">
      <c r="A39" s="6" t="s">
        <v>280</v>
      </c>
      <c r="B39" s="8" t="s">
        <v>281</v>
      </c>
      <c r="C39" s="6" t="s">
        <v>263</v>
      </c>
      <c r="D39" s="6">
        <v>0</v>
      </c>
      <c r="E39" s="6">
        <v>22</v>
      </c>
      <c r="F39" s="6">
        <v>22</v>
      </c>
      <c r="G39" s="6">
        <v>22</v>
      </c>
      <c r="H39" s="6">
        <v>22</v>
      </c>
      <c r="I39" s="6">
        <v>22</v>
      </c>
      <c r="J39" s="6">
        <v>22</v>
      </c>
      <c r="K39" s="6">
        <v>22</v>
      </c>
    </row>
    <row r="40" spans="1:11" ht="56.25" x14ac:dyDescent="0.3">
      <c r="A40" s="6" t="s">
        <v>282</v>
      </c>
      <c r="B40" s="8" t="s">
        <v>283</v>
      </c>
      <c r="C40" s="6" t="s">
        <v>263</v>
      </c>
      <c r="D40" s="6">
        <v>0</v>
      </c>
      <c r="E40" s="6">
        <v>6</v>
      </c>
      <c r="F40" s="6">
        <v>3</v>
      </c>
      <c r="G40" s="9">
        <v>16</v>
      </c>
      <c r="H40" s="6">
        <v>4</v>
      </c>
      <c r="I40" s="6">
        <v>3</v>
      </c>
      <c r="J40" s="6">
        <v>0</v>
      </c>
      <c r="K40" s="6">
        <v>0</v>
      </c>
    </row>
    <row r="41" spans="1:11" ht="56.25" x14ac:dyDescent="0.3">
      <c r="A41" s="6" t="s">
        <v>284</v>
      </c>
      <c r="B41" s="8" t="s">
        <v>285</v>
      </c>
      <c r="C41" s="6" t="s">
        <v>263</v>
      </c>
      <c r="D41" s="6">
        <v>0</v>
      </c>
      <c r="E41" s="6">
        <v>15</v>
      </c>
      <c r="F41" s="6">
        <v>13</v>
      </c>
      <c r="G41" s="6">
        <v>11</v>
      </c>
      <c r="H41" s="6">
        <v>10</v>
      </c>
      <c r="I41" s="6">
        <v>15</v>
      </c>
      <c r="J41" s="6">
        <v>0</v>
      </c>
      <c r="K41" s="6">
        <v>0</v>
      </c>
    </row>
    <row r="42" spans="1:11" ht="37.5" x14ac:dyDescent="0.3">
      <c r="A42" s="6" t="s">
        <v>286</v>
      </c>
      <c r="B42" s="10" t="s">
        <v>287</v>
      </c>
      <c r="C42" s="6" t="s">
        <v>266</v>
      </c>
      <c r="D42" s="6">
        <v>0</v>
      </c>
      <c r="E42" s="6">
        <v>3</v>
      </c>
      <c r="F42" s="6">
        <v>2</v>
      </c>
      <c r="G42" s="6">
        <v>0</v>
      </c>
      <c r="H42" s="6">
        <v>0</v>
      </c>
      <c r="I42" s="6">
        <v>0</v>
      </c>
      <c r="J42" s="6">
        <v>0</v>
      </c>
      <c r="K42" s="6">
        <v>0</v>
      </c>
    </row>
    <row r="43" spans="1:11" ht="37.5" x14ac:dyDescent="0.3">
      <c r="A43" s="6" t="s">
        <v>296</v>
      </c>
      <c r="B43" s="10" t="s">
        <v>297</v>
      </c>
      <c r="C43" s="6" t="s">
        <v>266</v>
      </c>
      <c r="D43" s="6">
        <v>0</v>
      </c>
      <c r="E43" s="6">
        <v>0</v>
      </c>
      <c r="F43" s="6">
        <v>0</v>
      </c>
      <c r="G43" s="6">
        <v>0</v>
      </c>
      <c r="H43" s="6">
        <v>0</v>
      </c>
      <c r="I43" s="6">
        <v>7</v>
      </c>
      <c r="J43" s="6">
        <v>0</v>
      </c>
      <c r="K43" s="6">
        <v>0</v>
      </c>
    </row>
    <row r="44" spans="1:11" x14ac:dyDescent="0.3">
      <c r="A44" s="2"/>
    </row>
    <row r="45" spans="1:11" x14ac:dyDescent="0.3">
      <c r="A45" s="2"/>
    </row>
    <row r="46" spans="1:11" x14ac:dyDescent="0.3">
      <c r="A46" s="2"/>
    </row>
    <row r="47" spans="1:11" x14ac:dyDescent="0.3">
      <c r="A47" s="2"/>
    </row>
    <row r="48" spans="1:11" s="4" customFormat="1" x14ac:dyDescent="0.3">
      <c r="B48" s="4" t="s">
        <v>288</v>
      </c>
      <c r="H48" s="4" t="s">
        <v>181</v>
      </c>
    </row>
  </sheetData>
  <mergeCells count="39">
    <mergeCell ref="J32:J33"/>
    <mergeCell ref="K32:K33"/>
    <mergeCell ref="A32:A33"/>
    <mergeCell ref="B32:B33"/>
    <mergeCell ref="C32:C33"/>
    <mergeCell ref="D32:D33"/>
    <mergeCell ref="E32:E33"/>
    <mergeCell ref="F32:F33"/>
    <mergeCell ref="G32:G33"/>
    <mergeCell ref="H32:H33"/>
    <mergeCell ref="I32:I33"/>
    <mergeCell ref="K16:K17"/>
    <mergeCell ref="A16:A17"/>
    <mergeCell ref="B16:B17"/>
    <mergeCell ref="C16:C17"/>
    <mergeCell ref="D16:D17"/>
    <mergeCell ref="E16:E17"/>
    <mergeCell ref="F16:F17"/>
    <mergeCell ref="J16:J17"/>
    <mergeCell ref="G16:G17"/>
    <mergeCell ref="H16:H17"/>
    <mergeCell ref="I16:I17"/>
    <mergeCell ref="F14:F15"/>
    <mergeCell ref="G14:G15"/>
    <mergeCell ref="H14:H15"/>
    <mergeCell ref="I14:I15"/>
    <mergeCell ref="K14:K15"/>
    <mergeCell ref="J14:J15"/>
    <mergeCell ref="A14:A15"/>
    <mergeCell ref="B14:B15"/>
    <mergeCell ref="C14:C15"/>
    <mergeCell ref="D14:D15"/>
    <mergeCell ref="E14:E15"/>
    <mergeCell ref="F1:K1"/>
    <mergeCell ref="B3:K4"/>
    <mergeCell ref="A6:A8"/>
    <mergeCell ref="B6:B8"/>
    <mergeCell ref="C6:C8"/>
    <mergeCell ref="D6:J6"/>
  </mergeCells>
  <pageMargins left="1.1811023622047245" right="0.39370078740157483" top="0.78740157480314965" bottom="0.78740157480314965" header="0.31496062992125984" footer="0.31496062992125984"/>
  <pageSetup paperSize="9" scale="6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Лист1 </vt:lpstr>
      <vt:lpstr>Лист2</vt:lpstr>
      <vt:lpstr>'Лист1 '!Заголовки_для_печати</vt:lpstr>
      <vt:lpstr>Лист2!Заголовки_для_печати</vt:lpstr>
      <vt:lpstr>'Лист1 '!Область_печати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2024-08-14T05:30:29Z</dcterms:modified>
</cp:coreProperties>
</file>